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plinter.David\Private\Auten-Misuse of Tax Data for Inequality\PSZ 2024 Reply\"/>
    </mc:Choice>
  </mc:AlternateContent>
  <xr:revisionPtr revIDLastSave="0" documentId="13_ncr:1_{DEEED966-2D3D-448A-9357-29055DFBE162}" xr6:coauthVersionLast="47" xr6:coauthVersionMax="47" xr10:uidLastSave="{00000000-0000-0000-0000-000000000000}"/>
  <bookViews>
    <workbookView xWindow="4845" yWindow="1170" windowWidth="22020" windowHeight="14340" xr2:uid="{1E7DF6BC-BD2B-4C96-A431-32D433CA0309}"/>
  </bookViews>
  <sheets>
    <sheet name="F1" sheetId="3" r:id="rId1"/>
    <sheet name="F2" sheetId="9" r:id="rId2"/>
    <sheet name="F3" sheetId="10" r:id="rId3"/>
    <sheet name="A1" sheetId="2" r:id="rId4"/>
    <sheet name="PartDist" sheetId="7" r:id="rId5"/>
    <sheet name="ScorpDist" sheetId="8" r:id="rId6"/>
    <sheet name="Pensions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  <c r="L68" i="3" l="1"/>
  <c r="L70" i="3"/>
  <c r="L71" i="3"/>
  <c r="L72" i="3"/>
  <c r="L73" i="3"/>
  <c r="L83" i="3"/>
  <c r="L86" i="3"/>
  <c r="L87" i="3"/>
  <c r="L88" i="3"/>
  <c r="L89" i="3"/>
  <c r="L90" i="3"/>
  <c r="L91" i="3"/>
  <c r="L92" i="3"/>
  <c r="L93" i="3"/>
  <c r="R93" i="3"/>
  <c r="R92" i="3"/>
  <c r="R91" i="3"/>
  <c r="R90" i="3"/>
  <c r="R89" i="3"/>
  <c r="R88" i="3"/>
  <c r="R87" i="3"/>
  <c r="R86" i="3"/>
  <c r="R85" i="3"/>
  <c r="L85" i="3" s="1"/>
  <c r="R84" i="3"/>
  <c r="L84" i="3" s="1"/>
  <c r="R83" i="3"/>
  <c r="R82" i="3"/>
  <c r="L82" i="3" s="1"/>
  <c r="R81" i="3"/>
  <c r="L81" i="3" s="1"/>
  <c r="R80" i="3"/>
  <c r="L80" i="3" s="1"/>
  <c r="R79" i="3"/>
  <c r="L79" i="3" s="1"/>
  <c r="R78" i="3"/>
  <c r="L78" i="3" s="1"/>
  <c r="R77" i="3"/>
  <c r="L77" i="3" s="1"/>
  <c r="R76" i="3"/>
  <c r="L76" i="3" s="1"/>
  <c r="R75" i="3"/>
  <c r="L75" i="3" s="1"/>
  <c r="R74" i="3"/>
  <c r="L74" i="3" s="1"/>
  <c r="R73" i="3"/>
  <c r="R72" i="3"/>
  <c r="R71" i="3"/>
  <c r="R70" i="3"/>
  <c r="R69" i="3"/>
  <c r="L69" i="3" s="1"/>
  <c r="R68" i="3"/>
  <c r="R67" i="3"/>
  <c r="L67" i="3" s="1"/>
  <c r="R66" i="3"/>
  <c r="L66" i="3" s="1"/>
  <c r="R65" i="3"/>
  <c r="L65" i="3" s="1"/>
  <c r="R64" i="3"/>
  <c r="L64" i="3" s="1"/>
  <c r="R63" i="3"/>
  <c r="L63" i="3" s="1"/>
  <c r="R62" i="3"/>
  <c r="L62" i="3" s="1"/>
  <c r="R61" i="3"/>
  <c r="L61" i="3" s="1"/>
  <c r="R60" i="3"/>
  <c r="L60" i="3" s="1"/>
  <c r="R59" i="3"/>
  <c r="L59" i="3" s="1"/>
  <c r="R58" i="3"/>
  <c r="L58" i="3" s="1"/>
  <c r="R57" i="3"/>
  <c r="L57" i="3" s="1"/>
  <c r="R56" i="3"/>
  <c r="L56" i="3" s="1"/>
  <c r="R55" i="3"/>
  <c r="L55" i="3" s="1"/>
  <c r="R54" i="3"/>
  <c r="L54" i="3" s="1"/>
  <c r="R53" i="3"/>
  <c r="L53" i="3" s="1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A56" i="7" l="1"/>
  <c r="D53" i="7"/>
  <c r="D41" i="8"/>
  <c r="A4" i="11" l="1"/>
  <c r="E4" i="11" s="1"/>
  <c r="F12" i="11"/>
  <c r="C11" i="11"/>
  <c r="C10" i="11"/>
  <c r="C12" i="11" s="1"/>
  <c r="B11" i="11"/>
  <c r="D11" i="11" s="1"/>
  <c r="B10" i="11"/>
  <c r="A27" i="11"/>
  <c r="B12" i="11" l="1"/>
  <c r="F11" i="11"/>
  <c r="G11" i="11" s="1"/>
  <c r="H11" i="11" s="1"/>
  <c r="D10" i="11"/>
  <c r="D12" i="11" s="1"/>
  <c r="D13" i="11" s="1"/>
  <c r="F10" i="11" l="1"/>
  <c r="G10" i="11" s="1"/>
  <c r="G12" i="11"/>
  <c r="H10" i="11"/>
  <c r="H12" i="11" s="1"/>
  <c r="H13" i="11" s="1"/>
  <c r="D50" i="7" l="1"/>
  <c r="E27" i="10"/>
  <c r="D27" i="10" l="1"/>
  <c r="F25" i="9"/>
  <c r="G25" i="9"/>
  <c r="B25" i="9"/>
  <c r="D38" i="8"/>
  <c r="E21" i="8"/>
  <c r="E22" i="8" s="1"/>
  <c r="D5" i="8"/>
  <c r="D6" i="8"/>
  <c r="D7" i="8"/>
  <c r="D8" i="8"/>
  <c r="D9" i="8"/>
  <c r="D10" i="8"/>
  <c r="D11" i="8"/>
  <c r="D12" i="8"/>
  <c r="C13" i="8"/>
  <c r="C16" i="8" s="1"/>
  <c r="B13" i="8"/>
  <c r="B16" i="8" s="1"/>
  <c r="E4" i="7"/>
  <c r="E5" i="7"/>
  <c r="E6" i="7"/>
  <c r="E7" i="7"/>
  <c r="E8" i="7"/>
  <c r="E9" i="7"/>
  <c r="E10" i="7"/>
  <c r="E11" i="7"/>
  <c r="D12" i="7"/>
  <c r="D13" i="7" s="1"/>
  <c r="E20" i="7"/>
  <c r="E21" i="7" s="1"/>
  <c r="E22" i="7" s="1"/>
  <c r="E23" i="7" s="1"/>
  <c r="C34" i="7"/>
  <c r="C35" i="7"/>
  <c r="C36" i="7"/>
  <c r="C37" i="7"/>
  <c r="C38" i="7"/>
  <c r="C39" i="7"/>
  <c r="C40" i="7"/>
  <c r="C41" i="7"/>
  <c r="C42" i="7"/>
  <c r="C43" i="7"/>
  <c r="C44" i="7"/>
  <c r="C45" i="7"/>
  <c r="H54" i="2"/>
  <c r="H55" i="2"/>
  <c r="H56" i="2"/>
  <c r="H57" i="2"/>
  <c r="H58" i="2"/>
  <c r="H59" i="2"/>
  <c r="F60" i="2"/>
  <c r="H60" i="2"/>
  <c r="H61" i="2"/>
  <c r="H62" i="2"/>
  <c r="H63" i="2"/>
  <c r="H64" i="2"/>
  <c r="H65" i="2"/>
  <c r="G66" i="2"/>
  <c r="H66" i="2"/>
  <c r="F67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F80" i="2"/>
  <c r="G80" i="2"/>
  <c r="H80" i="2"/>
  <c r="H81" i="2"/>
  <c r="H82" i="2"/>
  <c r="H83" i="2"/>
  <c r="H84" i="2"/>
  <c r="H85" i="2"/>
  <c r="G86" i="2"/>
  <c r="H86" i="2"/>
  <c r="F87" i="2"/>
  <c r="H87" i="2"/>
  <c r="H88" i="2"/>
  <c r="H89" i="2"/>
  <c r="H90" i="2"/>
  <c r="H91" i="2"/>
  <c r="H92" i="2"/>
  <c r="H93" i="2"/>
  <c r="H53" i="2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B98" i="3"/>
  <c r="B101" i="3" s="1"/>
  <c r="C98" i="3"/>
  <c r="D98" i="3"/>
  <c r="D101" i="3" s="1"/>
  <c r="B99" i="3"/>
  <c r="C99" i="3"/>
  <c r="C102" i="3" s="1"/>
  <c r="D99" i="3"/>
  <c r="C101" i="3"/>
  <c r="B102" i="3"/>
  <c r="D102" i="3"/>
  <c r="T34" i="2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P53" i="2"/>
  <c r="F53" i="2" s="1"/>
  <c r="T53" i="2"/>
  <c r="G53" i="2" s="1"/>
  <c r="P54" i="2"/>
  <c r="F54" i="2" s="1"/>
  <c r="T54" i="2"/>
  <c r="G54" i="2" s="1"/>
  <c r="P55" i="2"/>
  <c r="F55" i="2" s="1"/>
  <c r="T55" i="2"/>
  <c r="G55" i="2" s="1"/>
  <c r="P56" i="2"/>
  <c r="F56" i="2" s="1"/>
  <c r="T56" i="2"/>
  <c r="G56" i="2" s="1"/>
  <c r="P57" i="2"/>
  <c r="F57" i="2" s="1"/>
  <c r="T57" i="2"/>
  <c r="G57" i="2" s="1"/>
  <c r="P58" i="2"/>
  <c r="F58" i="2" s="1"/>
  <c r="T58" i="2"/>
  <c r="G58" i="2" s="1"/>
  <c r="P59" i="2"/>
  <c r="F59" i="2" s="1"/>
  <c r="T59" i="2"/>
  <c r="G59" i="2" s="1"/>
  <c r="P60" i="2"/>
  <c r="T60" i="2"/>
  <c r="G60" i="2" s="1"/>
  <c r="P61" i="2"/>
  <c r="F61" i="2" s="1"/>
  <c r="T61" i="2"/>
  <c r="G61" i="2" s="1"/>
  <c r="P62" i="2"/>
  <c r="F62" i="2" s="1"/>
  <c r="T62" i="2"/>
  <c r="G62" i="2" s="1"/>
  <c r="P63" i="2"/>
  <c r="F63" i="2" s="1"/>
  <c r="T63" i="2"/>
  <c r="G63" i="2" s="1"/>
  <c r="P64" i="2"/>
  <c r="F64" i="2" s="1"/>
  <c r="T64" i="2"/>
  <c r="G64" i="2" s="1"/>
  <c r="P65" i="2"/>
  <c r="F65" i="2" s="1"/>
  <c r="T65" i="2"/>
  <c r="G65" i="2" s="1"/>
  <c r="P66" i="2"/>
  <c r="F66" i="2" s="1"/>
  <c r="T66" i="2"/>
  <c r="P67" i="2"/>
  <c r="T67" i="2"/>
  <c r="G67" i="2" s="1"/>
  <c r="P68" i="2"/>
  <c r="F68" i="2" s="1"/>
  <c r="T68" i="2"/>
  <c r="G68" i="2" s="1"/>
  <c r="P69" i="2"/>
  <c r="F69" i="2" s="1"/>
  <c r="T69" i="2"/>
  <c r="G69" i="2" s="1"/>
  <c r="P70" i="2"/>
  <c r="F70" i="2" s="1"/>
  <c r="T70" i="2"/>
  <c r="G70" i="2" s="1"/>
  <c r="P71" i="2"/>
  <c r="F71" i="2" s="1"/>
  <c r="T71" i="2"/>
  <c r="G71" i="2" s="1"/>
  <c r="P72" i="2"/>
  <c r="F72" i="2" s="1"/>
  <c r="T72" i="2"/>
  <c r="G72" i="2" s="1"/>
  <c r="P73" i="2"/>
  <c r="F73" i="2" s="1"/>
  <c r="T73" i="2"/>
  <c r="G73" i="2" s="1"/>
  <c r="P74" i="2"/>
  <c r="F74" i="2" s="1"/>
  <c r="T74" i="2"/>
  <c r="G74" i="2" s="1"/>
  <c r="P75" i="2"/>
  <c r="F75" i="2" s="1"/>
  <c r="T75" i="2"/>
  <c r="G75" i="2" s="1"/>
  <c r="P76" i="2"/>
  <c r="F76" i="2" s="1"/>
  <c r="T76" i="2"/>
  <c r="G76" i="2" s="1"/>
  <c r="P77" i="2"/>
  <c r="F77" i="2" s="1"/>
  <c r="T77" i="2"/>
  <c r="G77" i="2" s="1"/>
  <c r="P78" i="2"/>
  <c r="F78" i="2" s="1"/>
  <c r="T78" i="2"/>
  <c r="G78" i="2" s="1"/>
  <c r="P79" i="2"/>
  <c r="F79" i="2" s="1"/>
  <c r="T79" i="2"/>
  <c r="G79" i="2" s="1"/>
  <c r="P80" i="2"/>
  <c r="T80" i="2"/>
  <c r="P81" i="2"/>
  <c r="F81" i="2" s="1"/>
  <c r="T81" i="2"/>
  <c r="G81" i="2" s="1"/>
  <c r="P82" i="2"/>
  <c r="F82" i="2" s="1"/>
  <c r="T82" i="2"/>
  <c r="G82" i="2" s="1"/>
  <c r="P83" i="2"/>
  <c r="F83" i="2" s="1"/>
  <c r="T83" i="2"/>
  <c r="G83" i="2" s="1"/>
  <c r="P84" i="2"/>
  <c r="F84" i="2" s="1"/>
  <c r="T84" i="2"/>
  <c r="G84" i="2" s="1"/>
  <c r="P85" i="2"/>
  <c r="F85" i="2" s="1"/>
  <c r="T85" i="2"/>
  <c r="G85" i="2" s="1"/>
  <c r="P86" i="2"/>
  <c r="F86" i="2" s="1"/>
  <c r="T86" i="2"/>
  <c r="P87" i="2"/>
  <c r="T87" i="2"/>
  <c r="G87" i="2" s="1"/>
  <c r="P88" i="2"/>
  <c r="F88" i="2" s="1"/>
  <c r="T88" i="2"/>
  <c r="G88" i="2" s="1"/>
  <c r="P89" i="2"/>
  <c r="F89" i="2" s="1"/>
  <c r="T89" i="2"/>
  <c r="G89" i="2" s="1"/>
  <c r="P90" i="2"/>
  <c r="F90" i="2" s="1"/>
  <c r="T90" i="2"/>
  <c r="G90" i="2" s="1"/>
  <c r="P91" i="2"/>
  <c r="F91" i="2" s="1"/>
  <c r="T91" i="2"/>
  <c r="G91" i="2" s="1"/>
  <c r="P92" i="2"/>
  <c r="F92" i="2" s="1"/>
  <c r="T92" i="2"/>
  <c r="G92" i="2" s="1"/>
  <c r="P93" i="2"/>
  <c r="F93" i="2" s="1"/>
  <c r="T93" i="2"/>
  <c r="G93" i="2" s="1"/>
  <c r="B98" i="2"/>
  <c r="B101" i="2" s="1"/>
  <c r="C98" i="2"/>
  <c r="C101" i="2" s="1"/>
  <c r="D98" i="2"/>
  <c r="D101" i="2" s="1"/>
  <c r="B99" i="2"/>
  <c r="B102" i="2" s="1"/>
  <c r="C99" i="2"/>
  <c r="C102" i="2" s="1"/>
  <c r="D99" i="2"/>
  <c r="D102" i="2" s="1"/>
  <c r="E23" i="8" l="1"/>
  <c r="D13" i="8"/>
  <c r="D41" i="7"/>
  <c r="E12" i="7"/>
  <c r="F6" i="7" s="1"/>
  <c r="E24" i="7"/>
  <c r="D16" i="8" l="1"/>
  <c r="E10" i="8"/>
  <c r="B23" i="8" s="1"/>
  <c r="E12" i="8"/>
  <c r="E8" i="8"/>
  <c r="E5" i="8"/>
  <c r="E9" i="8"/>
  <c r="E6" i="8"/>
  <c r="E7" i="8"/>
  <c r="E11" i="8"/>
  <c r="B24" i="8" s="1"/>
  <c r="E24" i="8"/>
  <c r="F8" i="7"/>
  <c r="F9" i="7"/>
  <c r="B22" i="7" s="1"/>
  <c r="F10" i="7"/>
  <c r="B23" i="7" s="1"/>
  <c r="F7" i="7"/>
  <c r="F11" i="7"/>
  <c r="F5" i="7"/>
  <c r="B20" i="7" s="1"/>
  <c r="F4" i="7"/>
  <c r="F12" i="7" s="1"/>
  <c r="B21" i="7"/>
  <c r="B24" i="7"/>
  <c r="B25" i="7"/>
  <c r="C25" i="7" s="1"/>
  <c r="F20" i="7"/>
  <c r="B26" i="7"/>
  <c r="C26" i="7" s="1"/>
  <c r="E25" i="7"/>
  <c r="B22" i="8" l="1"/>
  <c r="E13" i="8"/>
  <c r="B20" i="8"/>
  <c r="B21" i="8"/>
  <c r="B27" i="8"/>
  <c r="C27" i="8" s="1"/>
  <c r="B26" i="8"/>
  <c r="C26" i="8" s="1"/>
  <c r="B25" i="8"/>
  <c r="E25" i="8"/>
  <c r="B19" i="7"/>
  <c r="D25" i="7"/>
  <c r="E26" i="7"/>
  <c r="F23" i="7"/>
  <c r="F31" i="7"/>
  <c r="C24" i="7"/>
  <c r="B27" i="7"/>
  <c r="C21" i="7" s="1"/>
  <c r="D21" i="7" s="1"/>
  <c r="C25" i="8" l="1"/>
  <c r="F25" i="8" s="1"/>
  <c r="B28" i="8"/>
  <c r="C28" i="8" s="1"/>
  <c r="E26" i="8"/>
  <c r="F26" i="8" s="1"/>
  <c r="B28" i="7"/>
  <c r="B29" i="7"/>
  <c r="C19" i="7"/>
  <c r="D19" i="7" s="1"/>
  <c r="C27" i="7"/>
  <c r="C29" i="7" s="1"/>
  <c r="C20" i="7"/>
  <c r="D20" i="7" s="1"/>
  <c r="C23" i="7"/>
  <c r="D23" i="7" s="1"/>
  <c r="F27" i="7"/>
  <c r="F25" i="7"/>
  <c r="F26" i="7"/>
  <c r="C22" i="7"/>
  <c r="D22" i="7" s="1"/>
  <c r="D24" i="7"/>
  <c r="E27" i="7"/>
  <c r="D27" i="7" s="1"/>
  <c r="D26" i="7"/>
  <c r="C21" i="8" l="1"/>
  <c r="F21" i="8" s="1"/>
  <c r="C20" i="8"/>
  <c r="F20" i="8" s="1"/>
  <c r="C22" i="8"/>
  <c r="F22" i="8" s="1"/>
  <c r="C23" i="8"/>
  <c r="F23" i="8" s="1"/>
  <c r="C24" i="8"/>
  <c r="F24" i="8" s="1"/>
  <c r="B29" i="8"/>
  <c r="B31" i="8"/>
  <c r="C31" i="8"/>
  <c r="E27" i="8"/>
  <c r="F27" i="8" s="1"/>
  <c r="C28" i="7"/>
  <c r="C29" i="8" l="1"/>
  <c r="E28" i="8"/>
  <c r="F28" i="8" s="1"/>
</calcChain>
</file>

<file path=xl/sharedStrings.xml><?xml version="1.0" encoding="utf-8"?>
<sst xmlns="http://schemas.openxmlformats.org/spreadsheetml/2006/main" count="237" uniqueCount="183">
  <si>
    <t>---</t>
  </si>
  <si>
    <t>Top 1% ch (pp) from AS</t>
  </si>
  <si>
    <t>AS baseline</t>
  </si>
  <si>
    <t>PSZ</t>
  </si>
  <si>
    <t>AS expensing then linked partnership</t>
  </si>
  <si>
    <t>AS linked partnership</t>
  </si>
  <si>
    <t>Partnership excess depreciation allocations</t>
  </si>
  <si>
    <t>1979-2019</t>
  </si>
  <si>
    <t>1962-2019</t>
  </si>
  <si>
    <r>
      <t xml:space="preserve">Burkhauser, Richard V., Shuaizhang Feng, Stephen P. Jenkins, and Jeff Larrimore. 2012. “Recent Trends in Top Income Shares in the United States: Reconciling Estimates from March CPS and IRS Tax Return Data.” </t>
    </r>
    <r>
      <rPr>
        <i/>
        <sz val="11"/>
        <color theme="1"/>
        <rFont val="Times New Roman"/>
        <family val="1"/>
      </rPr>
      <t>Review of Economics and Statistics</t>
    </r>
    <r>
      <rPr>
        <sz val="11"/>
        <color theme="1"/>
        <rFont val="Times New Roman"/>
        <family val="1"/>
      </rPr>
      <t xml:space="preserve"> 44(2): 371–388. </t>
    </r>
  </si>
  <si>
    <t>Ratio</t>
  </si>
  <si>
    <t>Top 1% share no capital gains (TA1)</t>
  </si>
  <si>
    <t>Top 1% share with capital gains (TA3)</t>
  </si>
  <si>
    <t>Top 1% share adj. no cap gains</t>
  </si>
  <si>
    <t>Avg income before taxes/tra</t>
  </si>
  <si>
    <t>Top 1% Avg income before taxes/tra</t>
  </si>
  <si>
    <t>Overall avg cap gains</t>
  </si>
  <si>
    <t>Top 1% avg cap gains</t>
  </si>
  <si>
    <t>Income Before
Transfers and
Taxes</t>
  </si>
  <si>
    <t>CBO before taxes/trans, with cap gains (5yr avg)</t>
  </si>
  <si>
    <t>CBO before taxes and transfers, no cap gains</t>
  </si>
  <si>
    <t>BEA personal income</t>
  </si>
  <si>
    <t>Burkhauser et al. (BFJL 2012)</t>
  </si>
  <si>
    <t>Post-tax national income</t>
  </si>
  <si>
    <t>Pre-tax national income</t>
  </si>
  <si>
    <t>Fiscal income with cap gains (PS)</t>
  </si>
  <si>
    <t>After-tax income</t>
  </si>
  <si>
    <t>Pre-tax income plus transfers</t>
  </si>
  <si>
    <t>Pre-tax Income</t>
  </si>
  <si>
    <t>Piketty Saez (2003, 2021 updates)</t>
  </si>
  <si>
    <t>CBO suppl. table 1</t>
  </si>
  <si>
    <t>CBO suppl. table 5</t>
  </si>
  <si>
    <t>CBO</t>
  </si>
  <si>
    <t>Piketty-Saez-Zucman (2018), revised</t>
  </si>
  <si>
    <t>Piketty-Saez (2003)</t>
  </si>
  <si>
    <t>Auten-Splinter</t>
  </si>
  <si>
    <t>Top 1% Income Shares</t>
  </si>
  <si>
    <t>PSZ revised estiamtes, accessed on March 14, 2023</t>
  </si>
  <si>
    <t>CBO, Top 1%</t>
  </si>
  <si>
    <t>Figure 1: Pre-tax top 1% income shares: PSZ estimates are outliers</t>
  </si>
  <si>
    <r>
      <t>Notes</t>
    </r>
    <r>
      <rPr>
        <sz val="10"/>
        <color theme="1"/>
        <rFont val="Times New Roman"/>
        <family val="1"/>
      </rPr>
      <t xml:space="preserve">: All estimates exclude capital gains realizations. </t>
    </r>
    <r>
      <rPr>
        <i/>
        <sz val="10"/>
        <color theme="1"/>
        <rFont val="Times New Roman"/>
        <family val="1"/>
      </rPr>
      <t>Sources</t>
    </r>
    <r>
      <rPr>
        <sz val="10"/>
        <color theme="1"/>
        <rFont val="Times New Roman"/>
        <family val="1"/>
      </rPr>
      <t>: Piketty, Saez, and Zucman (2018, PSZ, with updated methods, accessed from Zucman’s website on March 14, 2023); Auten and Splinter (2024a); Burkhauser et al. (2012, Census), Bureau of Economic Analysis (2024, BEA); Congressional Budget Office (2022, CBO) with capital gains removed as described in the appendix.</t>
    </r>
  </si>
  <si>
    <t>Figure 3: Change in top 1% share relative to AS from excess S corp. depreciation, 2019 (pp)</t>
  </si>
  <si>
    <t>Figure A1: Pre-tax top 1% income shares: CBO estimates without capital gains</t>
  </si>
  <si>
    <r>
      <t xml:space="preserve">Notes: </t>
    </r>
    <r>
      <rPr>
        <sz val="10"/>
        <color theme="1"/>
        <rFont val="Times New Roman"/>
        <family val="1"/>
      </rPr>
      <t>CBO top series includes capital gains realizations but smoothed over five years, middle series scales CBO estimates by the top 1% share without vs. with capital gains using estimates from Piketty and Saez (2003 and updates), the bottom series removes capital gains from CBO’s top 1% group and total income. The lower CBO top 1% shares before 1987 are due to not controlling for missing corporate retained earnings or income reporting effects from the Tax Reform Act of 1986.</t>
    </r>
    <r>
      <rPr>
        <i/>
        <sz val="10"/>
        <color theme="1"/>
        <rFont val="Times New Roman"/>
        <family val="1"/>
      </rPr>
      <t xml:space="preserve"> Sources: </t>
    </r>
    <r>
      <rPr>
        <sz val="10"/>
        <color theme="1"/>
        <rFont val="Times New Roman"/>
        <family val="1"/>
      </rPr>
      <t xml:space="preserve">Auten and Splinter (2024); Congressional Budget Office (2022, CBO) and authors’ calculations. </t>
    </r>
  </si>
  <si>
    <t>Before taxes and transfers, no cap gains</t>
  </si>
  <si>
    <t>Before taxes/trans, no cap gains (PS)</t>
  </si>
  <si>
    <r>
      <t>Notes</t>
    </r>
    <r>
      <rPr>
        <sz val="10"/>
        <color theme="1"/>
        <rFont val="Times New Roman"/>
        <family val="1"/>
      </rPr>
      <t xml:space="preserve">: Non-PSZ shares in the left panel are after the allocation. </t>
    </r>
    <r>
      <rPr>
        <i/>
        <sz val="10"/>
        <color theme="1"/>
        <rFont val="Times New Roman"/>
        <family val="1"/>
      </rPr>
      <t>Sources</t>
    </r>
    <r>
      <rPr>
        <sz val="10"/>
        <color theme="1"/>
        <rFont val="Times New Roman"/>
        <family val="1"/>
      </rPr>
      <t>: Authors’ calculations using tax data</t>
    </r>
  </si>
  <si>
    <r>
      <t>Notes</t>
    </r>
    <r>
      <rPr>
        <sz val="10"/>
        <color rgb="FF000000"/>
        <rFont val="Times New Roman"/>
        <family val="1"/>
      </rPr>
      <t xml:space="preserve">: AS shares are after the allocation. </t>
    </r>
    <r>
      <rPr>
        <i/>
        <sz val="10"/>
        <color rgb="FF000000"/>
        <rFont val="Times New Roman"/>
        <family val="1"/>
      </rPr>
      <t>Sources</t>
    </r>
    <r>
      <rPr>
        <sz val="10"/>
        <color rgb="FF000000"/>
        <rFont val="Times New Roman"/>
        <family val="1"/>
      </rPr>
      <t>: Authors’ calculations using tax data.</t>
    </r>
  </si>
  <si>
    <t>removes some double-counting</t>
  </si>
  <si>
    <t>Total true</t>
  </si>
  <si>
    <t>Other</t>
  </si>
  <si>
    <t>Tax exempt</t>
  </si>
  <si>
    <t>LLC</t>
  </si>
  <si>
    <t>S Corp</t>
  </si>
  <si>
    <t>C Corp</t>
  </si>
  <si>
    <t>C corp plus linked share of partn depreciation</t>
  </si>
  <si>
    <t>Sole prop</t>
  </si>
  <si>
    <t>Fid</t>
  </si>
  <si>
    <t>Estate</t>
  </si>
  <si>
    <t>Trust</t>
  </si>
  <si>
    <t>Retire</t>
  </si>
  <si>
    <t>Individual</t>
  </si>
  <si>
    <t>Partnership</t>
  </si>
  <si>
    <t>Depreciation share (%)</t>
  </si>
  <si>
    <t>Depreciation ($B)</t>
  </si>
  <si>
    <t>Entity to which depreciation links via K-1, 2019 (some double counting as total is $273B)</t>
  </si>
  <si>
    <t>C-corp adj. linked partnerhsip excess depreciatio top 1% share</t>
  </si>
  <si>
    <t>C corp top 1% ownership share</t>
  </si>
  <si>
    <t>rerank adj.</t>
  </si>
  <si>
    <t>adjust residual to part</t>
  </si>
  <si>
    <t>Top 0.01%</t>
  </si>
  <si>
    <t>rerank adj. increase to</t>
  </si>
  <si>
    <t>P99.9-99.99</t>
  </si>
  <si>
    <t>effect on top 1% with linked partnership excess dep distribution</t>
  </si>
  <si>
    <t>P99.5-99.9</t>
  </si>
  <si>
    <t>Top 1% share realtive to AS baseline: Back-of-the-envelope calcs</t>
  </si>
  <si>
    <t>P99-99.5</t>
  </si>
  <si>
    <t>linked partnerhsip excess depreciatio top 1% share</t>
  </si>
  <si>
    <t>95-99</t>
  </si>
  <si>
    <t>re-ranking effect</t>
  </si>
  <si>
    <t>90-95</t>
  </si>
  <si>
    <t>tax units to indivs</t>
  </si>
  <si>
    <t>P50-90</t>
  </si>
  <si>
    <t>direct linked top 1% share</t>
  </si>
  <si>
    <t>Bottom 50%</t>
  </si>
  <si>
    <t>Negative</t>
  </si>
  <si>
    <t>After exp. re-ranking adj.</t>
  </si>
  <si>
    <t>All depr.</t>
  </si>
  <si>
    <t>Depreciation Share</t>
  </si>
  <si>
    <t>Microdata allocation</t>
  </si>
  <si>
    <t>total</t>
  </si>
  <si>
    <t xml:space="preserve">        when adjgross&gt;=208778 and adjgross&lt;511548 then 7 else 8 end) as AGIgps</t>
  </si>
  <si>
    <t>top 1%</t>
  </si>
  <si>
    <t xml:space="preserve">        when adjgross&gt;=144756 and adjgross&lt;208778 then 6 </t>
  </si>
  <si>
    <t xml:space="preserve">        when adjgross&gt;=95222  and adjgross&lt;144756 then 5</t>
  </si>
  <si>
    <t xml:space="preserve">        when adjgross&gt;=50468  and adjgross&lt;95222  then 4 </t>
  </si>
  <si>
    <t>80-90</t>
  </si>
  <si>
    <t xml:space="preserve">        when adjgross&gt;=27608  and adjgross&lt;50468  then 3 </t>
  </si>
  <si>
    <t>60-80</t>
  </si>
  <si>
    <t xml:space="preserve">        when adjgross&gt;=0      and adjgross&lt;27608  then 2</t>
  </si>
  <si>
    <t>40-60</t>
  </si>
  <si>
    <t xml:space="preserve">(case when adjgross&lt;0 then 1 </t>
  </si>
  <si>
    <t>P0-40</t>
  </si>
  <si>
    <t>AGI Bins:</t>
  </si>
  <si>
    <t>Linked partnership depreciation ($billions)</t>
  </si>
  <si>
    <t>Depreciation - direct plus tiered links to resident 1040s</t>
  </si>
  <si>
    <t>AGIgps</t>
  </si>
  <si>
    <t>tax_yr</t>
  </si>
  <si>
    <t>AGI gp</t>
  </si>
  <si>
    <t>Partnership depreciation, enity-level form 1065 line 16c depreciation linked to resident indiv. tax returns, 2019</t>
  </si>
  <si>
    <t>Top 1%</t>
  </si>
  <si>
    <t>10 loops of partner levels</t>
  </si>
  <si>
    <t>S corporations, tax year 2019</t>
  </si>
  <si>
    <t>Depeletion</t>
  </si>
  <si>
    <t>Depreciation</t>
  </si>
  <si>
    <t>Share matched</t>
  </si>
  <si>
    <t>Depreciation and Depletion ($B)</t>
  </si>
  <si>
    <t>Linked S-corp depreciation and depletion share (%)</t>
  </si>
  <si>
    <t>Linked parnership depreciation share (%)</t>
  </si>
  <si>
    <t>Total matched</t>
  </si>
  <si>
    <t>Total</t>
  </si>
  <si>
    <t>Depreciation share after exp. re-ranking adj.</t>
  </si>
  <si>
    <t>Depreciation shares</t>
  </si>
  <si>
    <t>Depreciation Shares for microdata allocation (includes small amount of depletion)</t>
  </si>
  <si>
    <t>Notes: Divides top 1% estimates equally among four top groups in microdata</t>
  </si>
  <si>
    <t>Removes re-ranking adj. share from top 1% groups and allocates proportionally across other groups by depreciation</t>
  </si>
  <si>
    <t xml:space="preserve">39% S-corp. depreciation to top 1% by fiscal income among tax returns • (100% – 10% indivs./re-rerkaing adj. – 15% excess depr. re-ranking effect) = 29% S-corp excess depreciation to top 1%. </t>
  </si>
  <si>
    <t xml:space="preserve">S-corp excess depreciation to top 1%. </t>
  </si>
  <si>
    <t>pp</t>
  </si>
  <si>
    <t>Top 1% share effect when replace with linked S corp</t>
  </si>
  <si>
    <t>pp (negligible, &lt;0.05 pp change)</t>
  </si>
  <si>
    <t>10% random sample of population of S-corporations: Links entity-level depreciation (Form 4562) to domestic individual 1040s via K-1 ownership shares</t>
  </si>
  <si>
    <t>AS
S-corp losses then linked</t>
  </si>
  <si>
    <t>AS
 linked S-corp</t>
  </si>
  <si>
    <t>Top 1% share</t>
  </si>
  <si>
    <t>S-corp excess depreciation allocation effects</t>
  </si>
  <si>
    <t>AS 
baseline</t>
  </si>
  <si>
    <t>AS linked partn.
Sch C remove</t>
  </si>
  <si>
    <t>Prototype S corp excess depreciation by linked S corp excess depreciation distribution, 2019</t>
  </si>
  <si>
    <t>Prototype S corp excess depreciation by S corp losses ($86B) then linked S corp excess depreciation distribution, 2019</t>
  </si>
  <si>
    <t>Partnership excess depreciation to top 1%</t>
  </si>
  <si>
    <t xml:space="preserve">39% partnership depreciation to top 1% by fiscal income among tax returns • (100% – 10% indivs./re-rerkaing adj. – 15% excess depr. re-ranking effect) = 29% partnership excess depreciation to top 1%. </t>
  </si>
  <si>
    <t>Back of the envelope calculations: Partnership excess depreciation, 2019</t>
  </si>
  <si>
    <t>Top 1% share effect replacing with linked partn</t>
  </si>
  <si>
    <t xml:space="preserve">[(16% – 3%) • $780 – 42% • $90 + 21% • $70 +  29% • ($380 – $70) – $126] ÷ $18,273 = 0.2 pp  </t>
  </si>
  <si>
    <t>Partnership excess depreciation by linked partnership excess depreciation distribution</t>
  </si>
  <si>
    <t>Partnership excess depreciation by expensing then linked partnership excess depreciation distribution</t>
  </si>
  <si>
    <t>Partnership excess depreciation by linked partnership excess depreciation distribution after moving additional $41B excess depreciation from sch C to partnerships</t>
  </si>
  <si>
    <t>Figure 2:  Top 1% share changes relative to AS from partnership excess depreciation, 2019 (pp)</t>
  </si>
  <si>
    <t>Longer descriptions</t>
  </si>
  <si>
    <r>
      <t>Pensions: AS calculation for 2019: [(8.3% PSZ funded pension top 1% share – 6.3% AS top 1% pension share) • $1,340 billion] ÷ $18,300 billion national income = 0.1 pp</t>
    </r>
    <r>
      <rPr>
        <sz val="10"/>
        <color rgb="FF000000"/>
        <rFont val="Times New Roman"/>
        <family val="1"/>
      </rPr>
      <t xml:space="preserve">. </t>
    </r>
  </si>
  <si>
    <t>bottom 99%</t>
  </si>
  <si>
    <t>DC</t>
  </si>
  <si>
    <t>DB</t>
  </si>
  <si>
    <t>https://www.federalreserve.gov/releases/z1/dataviz/pension/funding_ratio/table/</t>
  </si>
  <si>
    <t>assets</t>
  </si>
  <si>
    <t>liabilities</t>
  </si>
  <si>
    <t>https://www.federalreserve.gov/releases/z1/dataviz/dfa/distribute/chart</t>
  </si>
  <si>
    <t>DFA pensions by income, 2019Q3 ($trillions)</t>
  </si>
  <si>
    <t>DC+DB</t>
  </si>
  <si>
    <t>Adjust DB for underfunding ( proportionally half as much top top 1%)</t>
  </si>
  <si>
    <t>DB funded</t>
  </si>
  <si>
    <t>Only adjust for PSZ exagerrated top 1% share (replace with assumed 8.3%</t>
  </si>
  <si>
    <t>Pensions</t>
  </si>
  <si>
    <t>Top 1% shr.</t>
  </si>
  <si>
    <t>DB under</t>
  </si>
  <si>
    <t>2019 funding ($M)</t>
  </si>
  <si>
    <t>DC+DB fund</t>
  </si>
  <si>
    <t>Adjust for PSZ exagerrated top 1% share (replace with assumed 11.5% with 7.1%, bit below PSZ text's 8.3%)</t>
  </si>
  <si>
    <t>pp relative to AS baseline</t>
  </si>
  <si>
    <r>
      <t>Pensions: AS calculation for 2019: [(7.1% PSZ funded pension top 1% share – 6.3% AS top 1% pension share) • $1,340 billion] ÷ $18,300 billion national income = 0.1 pp</t>
    </r>
    <r>
      <rPr>
        <sz val="10"/>
        <color rgb="FF000000"/>
        <rFont val="Times New Roman"/>
        <family val="1"/>
      </rPr>
      <t xml:space="preserve">. </t>
    </r>
  </si>
  <si>
    <t>the PSZ adjustment</t>
  </si>
  <si>
    <t>AS adjusted for underfunding</t>
  </si>
  <si>
    <t>https://www.cbo.gov/system/files/2022-11/58353-supplemental-data.xlsx</t>
  </si>
  <si>
    <t>CBO suppl. table 10</t>
  </si>
  <si>
    <t>Top 1% Income Before
Transfers and
Taxes</t>
  </si>
  <si>
    <t>CBO data from supplementary appendix (2019 dollars)</t>
  </si>
  <si>
    <t>Back of the envelope calculations, 2019</t>
  </si>
  <si>
    <t>(29%  – 28% C-corp top share) • $155 S-corp expensing ÷ $18,273 nat. income = 0.01 pp</t>
  </si>
  <si>
    <t>after-reranking AS top 1% share of excess depreciation</t>
  </si>
  <si>
    <t>initial (before-reranking) AS top 1% share of excess depreciation</t>
  </si>
  <si>
    <t>Top 1% ch from AS (pp)</t>
  </si>
  <si>
    <t xml:space="preserve">PSZ value from PSZ spreadsheet DataTab2 cells Y62 (partn)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</si>
</sst>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0.000"/>
    <numFmt numFmtId="166" formatCode="0.0"/>
    <numFmt numFmtId="167" formatCode="0.0000"/>
    <numFmt numFmtId="168" formatCode="#,##0.0"/>
    <numFmt numFmtId="169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sz val="11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 tint="0.499984740745262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97A4B4"/>
      </left>
      <right style="medium">
        <color rgb="FF9CB0C0"/>
      </right>
      <top style="medium">
        <color rgb="FF97A4B4"/>
      </top>
      <bottom style="medium">
        <color rgb="FF97A4B4"/>
      </bottom>
      <diagonal/>
    </border>
    <border>
      <left/>
      <right style="medium">
        <color rgb="FF97A4B4"/>
      </right>
      <top style="medium">
        <color rgb="FF97A4B4"/>
      </top>
      <bottom style="medium">
        <color rgb="FF97A4B4"/>
      </bottom>
      <diagonal/>
    </border>
    <border>
      <left/>
      <right style="medium">
        <color rgb="FF9CB0C0"/>
      </right>
      <top style="medium">
        <color rgb="FF97A4B4"/>
      </top>
      <bottom style="medium">
        <color rgb="FF97A4B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8" fillId="0" borderId="0" applyNumberFormat="0" applyFill="0" applyBorder="0" applyAlignment="0" applyProtection="0"/>
  </cellStyleXfs>
  <cellXfs count="128">
    <xf numFmtId="0" fontId="0" fillId="0" borderId="0" xfId="0"/>
    <xf numFmtId="9" fontId="0" fillId="0" borderId="0" xfId="2" applyFont="1"/>
    <xf numFmtId="164" fontId="0" fillId="0" borderId="0" xfId="2" applyNumberFormat="1" applyFont="1"/>
    <xf numFmtId="1" fontId="0" fillId="0" borderId="0" xfId="0" applyNumberFormat="1"/>
    <xf numFmtId="0" fontId="3" fillId="0" borderId="0" xfId="0" applyFont="1"/>
    <xf numFmtId="2" fontId="0" fillId="0" borderId="0" xfId="0" applyNumberFormat="1"/>
    <xf numFmtId="11" fontId="0" fillId="0" borderId="0" xfId="0" applyNumberFormat="1"/>
    <xf numFmtId="1" fontId="0" fillId="0" borderId="0" xfId="2" applyNumberFormat="1" applyFont="1"/>
    <xf numFmtId="0" fontId="4" fillId="0" borderId="0" xfId="0" applyFont="1"/>
    <xf numFmtId="1" fontId="4" fillId="0" borderId="0" xfId="0" applyNumberFormat="1" applyFont="1"/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167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2" fontId="10" fillId="0" borderId="0" xfId="3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0" fillId="0" borderId="2" xfId="0" applyBorder="1"/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165" fontId="0" fillId="0" borderId="2" xfId="0" applyNumberFormat="1" applyBorder="1" applyAlignment="1">
      <alignment horizontal="center"/>
    </xf>
    <xf numFmtId="0" fontId="15" fillId="0" borderId="0" xfId="0" applyFont="1"/>
    <xf numFmtId="2" fontId="17" fillId="0" borderId="0" xfId="3" applyNumberFormat="1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168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18" fillId="0" borderId="0" xfId="0" applyFont="1"/>
    <xf numFmtId="0" fontId="0" fillId="7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0" applyFont="1" applyAlignment="1">
      <alignment horizontal="left"/>
    </xf>
    <xf numFmtId="2" fontId="15" fillId="0" borderId="0" xfId="0" applyNumberFormat="1" applyFont="1"/>
    <xf numFmtId="0" fontId="0" fillId="0" borderId="0" xfId="0" applyBorder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left" vertical="center"/>
    </xf>
    <xf numFmtId="1" fontId="21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7" borderId="0" xfId="0" applyFill="1"/>
    <xf numFmtId="1" fontId="3" fillId="0" borderId="0" xfId="0" applyNumberFormat="1" applyFont="1" applyAlignment="1">
      <alignment horizontal="center"/>
    </xf>
    <xf numFmtId="166" fontId="0" fillId="4" borderId="0" xfId="0" applyNumberForma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2" borderId="0" xfId="0" applyFill="1"/>
    <xf numFmtId="1" fontId="0" fillId="4" borderId="0" xfId="0" applyNumberFormat="1" applyFill="1"/>
    <xf numFmtId="169" fontId="0" fillId="0" borderId="0" xfId="1" applyNumberFormat="1" applyFont="1"/>
    <xf numFmtId="9" fontId="0" fillId="0" borderId="0" xfId="2" applyFont="1" applyFill="1" applyBorder="1" applyAlignment="1">
      <alignment horizontal="center"/>
    </xf>
    <xf numFmtId="37" fontId="3" fillId="3" borderId="0" xfId="1" applyNumberFormat="1" applyFont="1" applyFill="1" applyBorder="1" applyAlignment="1">
      <alignment horizontal="center"/>
    </xf>
    <xf numFmtId="169" fontId="3" fillId="5" borderId="0" xfId="1" applyNumberFormat="1" applyFont="1" applyFill="1"/>
    <xf numFmtId="0" fontId="0" fillId="5" borderId="0" xfId="0" applyFill="1"/>
    <xf numFmtId="0" fontId="23" fillId="3" borderId="0" xfId="0" applyFont="1" applyFill="1" applyAlignment="1">
      <alignment horizontal="center" vertical="center"/>
    </xf>
    <xf numFmtId="37" fontId="0" fillId="0" borderId="0" xfId="1" applyNumberFormat="1" applyFont="1" applyBorder="1" applyAlignment="1">
      <alignment horizontal="center"/>
    </xf>
    <xf numFmtId="169" fontId="0" fillId="0" borderId="0" xfId="1" applyNumberFormat="1" applyFont="1" applyBorder="1"/>
    <xf numFmtId="0" fontId="3" fillId="0" borderId="0" xfId="0" applyFont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24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37" fontId="0" fillId="0" borderId="0" xfId="0" applyNumberFormat="1" applyAlignment="1">
      <alignment horizontal="center"/>
    </xf>
    <xf numFmtId="0" fontId="26" fillId="0" borderId="0" xfId="0" applyFont="1"/>
    <xf numFmtId="166" fontId="0" fillId="0" borderId="0" xfId="0" applyNumberFormat="1" applyFill="1" applyAlignment="1">
      <alignment horizontal="center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center" vertical="center" wrapText="1"/>
    </xf>
    <xf numFmtId="0" fontId="25" fillId="3" borderId="2" xfId="0" applyFont="1" applyFill="1" applyBorder="1"/>
    <xf numFmtId="169" fontId="3" fillId="3" borderId="2" xfId="0" applyNumberFormat="1" applyFont="1" applyFill="1" applyBorder="1"/>
    <xf numFmtId="37" fontId="3" fillId="3" borderId="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0" fillId="0" borderId="0" xfId="0" applyFont="1"/>
    <xf numFmtId="9" fontId="0" fillId="6" borderId="0" xfId="0" applyNumberFormat="1" applyFill="1"/>
    <xf numFmtId="166" fontId="0" fillId="6" borderId="0" xfId="0" applyNumberFormat="1" applyFont="1" applyFill="1"/>
    <xf numFmtId="0" fontId="0" fillId="0" borderId="0" xfId="0" applyFill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/>
    <xf numFmtId="16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13" fillId="0" borderId="0" xfId="0" applyFont="1"/>
    <xf numFmtId="0" fontId="27" fillId="8" borderId="4" xfId="0" applyFont="1" applyFill="1" applyBorder="1" applyAlignment="1">
      <alignment horizontal="right" wrapText="1"/>
    </xf>
    <xf numFmtId="0" fontId="27" fillId="8" borderId="5" xfId="0" applyFont="1" applyFill="1" applyBorder="1" applyAlignment="1">
      <alignment horizontal="right" wrapText="1"/>
    </xf>
    <xf numFmtId="0" fontId="27" fillId="8" borderId="6" xfId="0" applyFont="1" applyFill="1" applyBorder="1" applyAlignment="1">
      <alignment horizontal="right" wrapText="1"/>
    </xf>
    <xf numFmtId="166" fontId="0" fillId="0" borderId="0" xfId="0" applyNumberFormat="1"/>
    <xf numFmtId="164" fontId="3" fillId="4" borderId="0" xfId="2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15" fillId="0" borderId="0" xfId="0" applyFont="1" applyAlignment="1">
      <alignment horizontal="center" wrapText="1"/>
    </xf>
    <xf numFmtId="0" fontId="28" fillId="0" borderId="0" xfId="4"/>
    <xf numFmtId="0" fontId="17" fillId="0" borderId="1" xfId="0" applyFont="1" applyBorder="1" applyAlignment="1">
      <alignment horizontal="center" wrapText="1"/>
    </xf>
    <xf numFmtId="168" fontId="20" fillId="0" borderId="0" xfId="0" applyNumberFormat="1" applyFont="1" applyAlignment="1">
      <alignment horizontal="right"/>
    </xf>
    <xf numFmtId="0" fontId="0" fillId="0" borderId="0" xfId="0"/>
    <xf numFmtId="2" fontId="0" fillId="6" borderId="0" xfId="0" applyNumberFormat="1" applyFont="1" applyFill="1"/>
    <xf numFmtId="0" fontId="1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</cellXfs>
  <cellStyles count="5">
    <cellStyle name="Currency" xfId="1" builtinId="4"/>
    <cellStyle name="Hyperlink" xfId="4" builtinId="8"/>
    <cellStyle name="Normal" xfId="0" builtinId="0"/>
    <cellStyle name="Normal_TabAnnexeB" xfId="3" xr:uid="{8F8D0284-330E-4D63-A730-CCEBD019160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692405137574"/>
          <c:y val="1.8568512269299675E-2"/>
          <c:w val="0.60577334865052523"/>
          <c:h val="0.92738386868308131"/>
        </c:manualLayout>
      </c:layout>
      <c:lineChart>
        <c:grouping val="standard"/>
        <c:varyColors val="0"/>
        <c:ser>
          <c:idx val="0"/>
          <c:order val="0"/>
          <c:tx>
            <c:strRef>
              <c:f>'F1'!$G$32</c:f>
              <c:strCache>
                <c:ptCount val="1"/>
                <c:pt idx="0">
                  <c:v>Piketty-Saez-Zucman (2018), revised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54"/>
            <c:bubble3D val="0"/>
            <c:spPr>
              <a:ln w="28575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8A-49D9-8AA4-1D4A47574F8F}"/>
              </c:ext>
            </c:extLst>
          </c:dPt>
          <c:cat>
            <c:numRef>
              <c:f>'F1'!$A$34:$A$94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'F1'!$G$34:$G$93</c:f>
              <c:numCache>
                <c:formatCode>0.000</c:formatCode>
                <c:ptCount val="60"/>
                <c:pt idx="0">
                  <c:v>0.12549298812090207</c:v>
                </c:pt>
                <c:pt idx="1">
                  <c:v>0.12460041178975494</c:v>
                </c:pt>
                <c:pt idx="2">
                  <c:v>0.12851753830909729</c:v>
                </c:pt>
                <c:pt idx="3">
                  <c:v>0.12987769395112991</c:v>
                </c:pt>
                <c:pt idx="4">
                  <c:v>0.13123784959316254</c:v>
                </c:pt>
                <c:pt idx="5">
                  <c:v>0.13039902597665787</c:v>
                </c:pt>
                <c:pt idx="6">
                  <c:v>0.1295602023601532</c:v>
                </c:pt>
                <c:pt idx="7">
                  <c:v>0.1259024403989315</c:v>
                </c:pt>
                <c:pt idx="8">
                  <c:v>0.12367113400250673</c:v>
                </c:pt>
                <c:pt idx="9">
                  <c:v>0.11569346976466477</c:v>
                </c:pt>
                <c:pt idx="10">
                  <c:v>0.11005600291537121</c:v>
                </c:pt>
                <c:pt idx="11">
                  <c:v>0.11053068873297889</c:v>
                </c:pt>
                <c:pt idx="12">
                  <c:v>0.11022839120778372</c:v>
                </c:pt>
                <c:pt idx="13">
                  <c:v>0.10795717915334535</c:v>
                </c:pt>
                <c:pt idx="14">
                  <c:v>0.10497182478616196</c:v>
                </c:pt>
                <c:pt idx="15">
                  <c:v>0.10433476758527149</c:v>
                </c:pt>
                <c:pt idx="16">
                  <c:v>0.10429263013732282</c:v>
                </c:pt>
                <c:pt idx="17">
                  <c:v>0.10493852545353732</c:v>
                </c:pt>
                <c:pt idx="18">
                  <c:v>0.10517325152837476</c:v>
                </c:pt>
                <c:pt idx="19">
                  <c:v>0.10854057222604752</c:v>
                </c:pt>
                <c:pt idx="20">
                  <c:v>0.10433274507522583</c:v>
                </c:pt>
                <c:pt idx="21">
                  <c:v>0.10662860423326492</c:v>
                </c:pt>
                <c:pt idx="22">
                  <c:v>0.10991345345973969</c:v>
                </c:pt>
                <c:pt idx="23">
                  <c:v>0.11480977386236191</c:v>
                </c:pt>
                <c:pt idx="24">
                  <c:v>0.12154140323400497</c:v>
                </c:pt>
                <c:pt idx="25">
                  <c:v>0.12345606833696365</c:v>
                </c:pt>
                <c:pt idx="26">
                  <c:v>0.11970000714063644</c:v>
                </c:pt>
                <c:pt idx="27">
                  <c:v>0.13233911991119385</c:v>
                </c:pt>
                <c:pt idx="28">
                  <c:v>0.15223731100559235</c:v>
                </c:pt>
                <c:pt idx="29">
                  <c:v>0.1469816118478775</c:v>
                </c:pt>
                <c:pt idx="30">
                  <c:v>0.14710064232349396</c:v>
                </c:pt>
                <c:pt idx="31">
                  <c:v>0.13648337125778198</c:v>
                </c:pt>
                <c:pt idx="32">
                  <c:v>0.14680194854736328</c:v>
                </c:pt>
                <c:pt idx="33">
                  <c:v>0.14140902459621429</c:v>
                </c:pt>
                <c:pt idx="34">
                  <c:v>0.14049772918224335</c:v>
                </c:pt>
                <c:pt idx="35">
                  <c:v>0.14519089460372925</c:v>
                </c:pt>
                <c:pt idx="36">
                  <c:v>0.1524396538734436</c:v>
                </c:pt>
                <c:pt idx="37">
                  <c:v>0.15984882414340973</c:v>
                </c:pt>
                <c:pt idx="38">
                  <c:v>0.16328857839107513</c:v>
                </c:pt>
                <c:pt idx="39">
                  <c:v>0.16761612892150879</c:v>
                </c:pt>
                <c:pt idx="40">
                  <c:v>0.17346110939979553</c:v>
                </c:pt>
                <c:pt idx="41">
                  <c:v>0.16608379781246185</c:v>
                </c:pt>
                <c:pt idx="42">
                  <c:v>0.16102613508701324</c:v>
                </c:pt>
                <c:pt idx="43">
                  <c:v>0.16332682967185974</c:v>
                </c:pt>
                <c:pt idx="44">
                  <c:v>0.17063263058662415</c:v>
                </c:pt>
                <c:pt idx="45">
                  <c:v>0.18077278137207031</c:v>
                </c:pt>
                <c:pt idx="46">
                  <c:v>0.185418501496315</c:v>
                </c:pt>
                <c:pt idx="47">
                  <c:v>0.18382576107978821</c:v>
                </c:pt>
                <c:pt idx="48">
                  <c:v>0.17935754358768463</c:v>
                </c:pt>
                <c:pt idx="49">
                  <c:v>0.16755276918411255</c:v>
                </c:pt>
                <c:pt idx="50">
                  <c:v>0.17931967973709106</c:v>
                </c:pt>
                <c:pt idx="51">
                  <c:v>0.18176597356796265</c:v>
                </c:pt>
                <c:pt idx="52">
                  <c:v>0.19496984779834747</c:v>
                </c:pt>
                <c:pt idx="53">
                  <c:v>0.18485242128372192</c:v>
                </c:pt>
                <c:pt idx="54">
                  <c:v>0.18980042636394501</c:v>
                </c:pt>
                <c:pt idx="55">
                  <c:v>0.18911042809486389</c:v>
                </c:pt>
                <c:pt idx="56">
                  <c:v>0.18671123683452606</c:v>
                </c:pt>
                <c:pt idx="57">
                  <c:v>0.19064128398895264</c:v>
                </c:pt>
                <c:pt idx="58">
                  <c:v>0.19258831441402435</c:v>
                </c:pt>
                <c:pt idx="59">
                  <c:v>0.19077830016613007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8A-49D9-8AA4-1D4A47574F8F}"/>
            </c:ext>
          </c:extLst>
        </c:ser>
        <c:ser>
          <c:idx val="1"/>
          <c:order val="1"/>
          <c:tx>
            <c:strRef>
              <c:f>'F1'!$B$33</c:f>
              <c:strCache>
                <c:ptCount val="1"/>
                <c:pt idx="0">
                  <c:v>Pre-tax Income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A8A-49D9-8AA4-1D4A47574F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4A8A-49D9-8AA4-1D4A47574F8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A8A-49D9-8AA4-1D4A47574F8F}"/>
              </c:ext>
            </c:extLst>
          </c:dPt>
          <c:cat>
            <c:numRef>
              <c:f>'F1'!$A$34:$A$94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'F1'!$B$34:$B$94</c:f>
              <c:numCache>
                <c:formatCode>0.000</c:formatCode>
                <c:ptCount val="61"/>
                <c:pt idx="0">
                  <c:v>0.10312642343998446</c:v>
                </c:pt>
                <c:pt idx="1">
                  <c:v>0.10749726112148456</c:v>
                </c:pt>
                <c:pt idx="2">
                  <c:v>0.11141746382081576</c:v>
                </c:pt>
                <c:pt idx="3">
                  <c:v>0.11350463527979342</c:v>
                </c:pt>
                <c:pt idx="4">
                  <c:v>0.1153404952149556</c:v>
                </c:pt>
                <c:pt idx="5">
                  <c:v>0.11502269803920959</c:v>
                </c:pt>
                <c:pt idx="6">
                  <c:v>0.11475404890168528</c:v>
                </c:pt>
                <c:pt idx="7">
                  <c:v>0.11271008021809324</c:v>
                </c:pt>
                <c:pt idx="8">
                  <c:v>0.11122507421643339</c:v>
                </c:pt>
                <c:pt idx="9">
                  <c:v>0.10086905698208237</c:v>
                </c:pt>
                <c:pt idx="10">
                  <c:v>9.2774149218298962E-2</c:v>
                </c:pt>
                <c:pt idx="11">
                  <c:v>9.5586815829986252E-2</c:v>
                </c:pt>
                <c:pt idx="12">
                  <c:v>9.6902700837127417E-2</c:v>
                </c:pt>
                <c:pt idx="13">
                  <c:v>9.5274756702436306E-2</c:v>
                </c:pt>
                <c:pt idx="14">
                  <c:v>9.1502578968887083E-2</c:v>
                </c:pt>
                <c:pt idx="15">
                  <c:v>9.2705446977149109E-2</c:v>
                </c:pt>
                <c:pt idx="16">
                  <c:v>9.3643030909225503E-2</c:v>
                </c:pt>
                <c:pt idx="17">
                  <c:v>9.3288610010785034E-2</c:v>
                </c:pt>
                <c:pt idx="18">
                  <c:v>9.282576570921168E-2</c:v>
                </c:pt>
                <c:pt idx="19">
                  <c:v>9.4070924937761549E-2</c:v>
                </c:pt>
                <c:pt idx="20">
                  <c:v>9.2002961738561317E-2</c:v>
                </c:pt>
                <c:pt idx="21">
                  <c:v>8.8426428447948471E-2</c:v>
                </c:pt>
                <c:pt idx="22">
                  <c:v>9.0614387946887795E-2</c:v>
                </c:pt>
                <c:pt idx="23">
                  <c:v>9.4112644594859865E-2</c:v>
                </c:pt>
                <c:pt idx="24">
                  <c:v>9.5901991841306072E-2</c:v>
                </c:pt>
                <c:pt idx="25">
                  <c:v>9.7255231594784455E-2</c:v>
                </c:pt>
                <c:pt idx="26">
                  <c:v>9.7148627151826886E-2</c:v>
                </c:pt>
                <c:pt idx="27">
                  <c:v>9.6692932756861874E-2</c:v>
                </c:pt>
                <c:pt idx="28">
                  <c:v>0.11249268915084298</c:v>
                </c:pt>
                <c:pt idx="29">
                  <c:v>0.10803245685896695</c:v>
                </c:pt>
                <c:pt idx="30">
                  <c:v>0.10766860304457467</c:v>
                </c:pt>
                <c:pt idx="31">
                  <c:v>0.1049527343746544</c:v>
                </c:pt>
                <c:pt idx="32">
                  <c:v>0.11182670858236057</c:v>
                </c:pt>
                <c:pt idx="33">
                  <c:v>0.10563438276548648</c:v>
                </c:pt>
                <c:pt idx="34">
                  <c:v>0.10583792699219721</c:v>
                </c:pt>
                <c:pt idx="35">
                  <c:v>0.11120233705499301</c:v>
                </c:pt>
                <c:pt idx="36">
                  <c:v>0.11578063250363062</c:v>
                </c:pt>
                <c:pt idx="37">
                  <c:v>0.12152306304405473</c:v>
                </c:pt>
                <c:pt idx="38">
                  <c:v>0.1235028643097314</c:v>
                </c:pt>
                <c:pt idx="39">
                  <c:v>0.12784542314203862</c:v>
                </c:pt>
                <c:pt idx="40">
                  <c:v>0.13289372751555226</c:v>
                </c:pt>
                <c:pt idx="41">
                  <c:v>0.12284943924708812</c:v>
                </c:pt>
                <c:pt idx="42">
                  <c:v>0.11651728187283869</c:v>
                </c:pt>
                <c:pt idx="43">
                  <c:v>0.12090609337273232</c:v>
                </c:pt>
                <c:pt idx="44">
                  <c:v>0.13042465681242077</c:v>
                </c:pt>
                <c:pt idx="45">
                  <c:v>0.14078954752135975</c:v>
                </c:pt>
                <c:pt idx="46">
                  <c:v>0.14538740941795281</c:v>
                </c:pt>
                <c:pt idx="47">
                  <c:v>0.14532352341551816</c:v>
                </c:pt>
                <c:pt idx="48">
                  <c:v>0.13655443635794021</c:v>
                </c:pt>
                <c:pt idx="49">
                  <c:v>0.12760173003234107</c:v>
                </c:pt>
                <c:pt idx="50">
                  <c:v>0.13819847941779137</c:v>
                </c:pt>
                <c:pt idx="51">
                  <c:v>0.13447749905738249</c:v>
                </c:pt>
                <c:pt idx="52">
                  <c:v>0.14880178677187605</c:v>
                </c:pt>
                <c:pt idx="53">
                  <c:v>0.13581085769098403</c:v>
                </c:pt>
                <c:pt idx="54">
                  <c:v>0.14170025784965681</c:v>
                </c:pt>
                <c:pt idx="55">
                  <c:v>0.13763444903518479</c:v>
                </c:pt>
                <c:pt idx="56">
                  <c:v>0.13419554909877796</c:v>
                </c:pt>
                <c:pt idx="57">
                  <c:v>0.14138500814474045</c:v>
                </c:pt>
                <c:pt idx="58">
                  <c:v>0.14229334164738572</c:v>
                </c:pt>
                <c:pt idx="59">
                  <c:v>0.13785770525864624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A-49D9-8AA4-1D4A47574F8F}"/>
            </c:ext>
          </c:extLst>
        </c:ser>
        <c:ser>
          <c:idx val="3"/>
          <c:order val="2"/>
          <c:tx>
            <c:strRef>
              <c:f>'F1'!$J$33</c:f>
              <c:strCache>
                <c:ptCount val="1"/>
                <c:pt idx="0">
                  <c:v>Burkhauser et al. (BFJL 2012)</c:v>
                </c:pt>
              </c:strCache>
            </c:strRef>
          </c:tx>
          <c:spPr>
            <a:ln w="444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val>
            <c:numRef>
              <c:f>'F1'!$J$34:$J$93</c:f>
              <c:numCache>
                <c:formatCode>General</c:formatCode>
                <c:ptCount val="60"/>
                <c:pt idx="7" formatCode="0.000">
                  <c:v>9.9000000000000005E-2</c:v>
                </c:pt>
                <c:pt idx="8" formatCode="0.000">
                  <c:v>9.6999999999999989E-2</c:v>
                </c:pt>
                <c:pt idx="9" formatCode="0.000">
                  <c:v>9.8000000000000004E-2</c:v>
                </c:pt>
                <c:pt idx="10" formatCode="0.000">
                  <c:v>9.6999999999999989E-2</c:v>
                </c:pt>
                <c:pt idx="11" formatCode="0.000">
                  <c:v>9.9000000000000005E-2</c:v>
                </c:pt>
                <c:pt idx="12" formatCode="0.000">
                  <c:v>0.1</c:v>
                </c:pt>
                <c:pt idx="13" formatCode="0.000">
                  <c:v>9.5000000000000001E-2</c:v>
                </c:pt>
                <c:pt idx="14" formatCode="0.000">
                  <c:v>9.6999999999999989E-2</c:v>
                </c:pt>
                <c:pt idx="15" formatCode="0.000">
                  <c:v>9.9000000000000005E-2</c:v>
                </c:pt>
                <c:pt idx="16" formatCode="0.000">
                  <c:v>0.10099999999999999</c:v>
                </c:pt>
                <c:pt idx="17" formatCode="0.000">
                  <c:v>0.10300000000000001</c:v>
                </c:pt>
                <c:pt idx="18" formatCode="0.000">
                  <c:v>0.10199999999999999</c:v>
                </c:pt>
                <c:pt idx="19" formatCode="0.000">
                  <c:v>0.10300000000000001</c:v>
                </c:pt>
                <c:pt idx="20" formatCode="0.000">
                  <c:v>0.1</c:v>
                </c:pt>
                <c:pt idx="21" formatCode="0.000">
                  <c:v>0.10300000000000001</c:v>
                </c:pt>
                <c:pt idx="22" formatCode="0.000">
                  <c:v>0.105</c:v>
                </c:pt>
                <c:pt idx="23" formatCode="0.000">
                  <c:v>0.10800000000000001</c:v>
                </c:pt>
                <c:pt idx="24" formatCode="0.000">
                  <c:v>0.11</c:v>
                </c:pt>
                <c:pt idx="25" formatCode="0.000">
                  <c:v>0.10400000000000001</c:v>
                </c:pt>
                <c:pt idx="26" formatCode="0.000">
                  <c:v>0.11199999999999999</c:v>
                </c:pt>
                <c:pt idx="27" formatCode="0.000">
                  <c:v>0.114</c:v>
                </c:pt>
                <c:pt idx="28" formatCode="0.000">
                  <c:v>0.11699999999999999</c:v>
                </c:pt>
                <c:pt idx="29" formatCode="0.000">
                  <c:v>0.13</c:v>
                </c:pt>
                <c:pt idx="30" formatCode="0.000">
                  <c:v>0.12300000000000001</c:v>
                </c:pt>
                <c:pt idx="31" formatCode="0.000">
                  <c:v>0.11800000000000001</c:v>
                </c:pt>
                <c:pt idx="32" formatCode="0.000">
                  <c:v>0.12</c:v>
                </c:pt>
                <c:pt idx="33" formatCode="0.000">
                  <c:v>0.11599999999999999</c:v>
                </c:pt>
                <c:pt idx="34" formatCode="0.000">
                  <c:v>0.111</c:v>
                </c:pt>
                <c:pt idx="35" formatCode="0.000">
                  <c:v>0.113</c:v>
                </c:pt>
                <c:pt idx="36" formatCode="0.000">
                  <c:v>0.11800000000000001</c:v>
                </c:pt>
                <c:pt idx="37" formatCode="0.000">
                  <c:v>0.11900000000000001</c:v>
                </c:pt>
                <c:pt idx="38" formatCode="0.000">
                  <c:v>0.11900000000000001</c:v>
                </c:pt>
                <c:pt idx="39" formatCode="0.000">
                  <c:v>0.11699999999999999</c:v>
                </c:pt>
                <c:pt idx="40" formatCode="0.000">
                  <c:v>0.126</c:v>
                </c:pt>
                <c:pt idx="41" formatCode="0.000">
                  <c:v>0.126</c:v>
                </c:pt>
                <c:pt idx="42" formatCode="0.000">
                  <c:v>0.11800000000000001</c:v>
                </c:pt>
                <c:pt idx="43" formatCode="0.000">
                  <c:v>0.11199999999999999</c:v>
                </c:pt>
                <c:pt idx="44" formatCode="0.000">
                  <c:v>0.12</c:v>
                </c:pt>
                <c:pt idx="45" formatCode="0.000">
                  <c:v>0.12300000000000001</c:v>
                </c:pt>
                <c:pt idx="46" formatCode="0.000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8A-49D9-8AA4-1D4A47574F8F}"/>
            </c:ext>
          </c:extLst>
        </c:ser>
        <c:ser>
          <c:idx val="5"/>
          <c:order val="3"/>
          <c:tx>
            <c:strRef>
              <c:f>'F1'!$K$33</c:f>
              <c:strCache>
                <c:ptCount val="1"/>
                <c:pt idx="0">
                  <c:v>BEA personal income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'F1'!$K$34:$K$93</c:f>
              <c:numCache>
                <c:formatCode>General</c:formatCode>
                <c:ptCount val="60"/>
                <c:pt idx="40" formatCode="0.000">
                  <c:v>0.12520000000000001</c:v>
                </c:pt>
                <c:pt idx="41" formatCode="0.000">
                  <c:v>0.12809999999999999</c:v>
                </c:pt>
                <c:pt idx="42" formatCode="0.000">
                  <c:v>0.1225</c:v>
                </c:pt>
                <c:pt idx="43" formatCode="0.000">
                  <c:v>0.11799999999999999</c:v>
                </c:pt>
                <c:pt idx="44" formatCode="0.000">
                  <c:v>0.12820000000000001</c:v>
                </c:pt>
                <c:pt idx="45" formatCode="0.000">
                  <c:v>0.12959999999999999</c:v>
                </c:pt>
                <c:pt idx="46" formatCode="0.000">
                  <c:v>0.1381</c:v>
                </c:pt>
                <c:pt idx="47" formatCode="0.000">
                  <c:v>0.13009999999999999</c:v>
                </c:pt>
                <c:pt idx="48" formatCode="0.000">
                  <c:v>0.1273</c:v>
                </c:pt>
                <c:pt idx="49" formatCode="0.000">
                  <c:v>0.1207</c:v>
                </c:pt>
                <c:pt idx="50" formatCode="0.000">
                  <c:v>0.121</c:v>
                </c:pt>
                <c:pt idx="51" formatCode="0.000">
                  <c:v>0.1321</c:v>
                </c:pt>
                <c:pt idx="52" formatCode="0.000">
                  <c:v>0.14080000000000001</c:v>
                </c:pt>
                <c:pt idx="53" formatCode="0.000">
                  <c:v>0.13589999999999999</c:v>
                </c:pt>
                <c:pt idx="54" formatCode="0.000">
                  <c:v>0.13730000000000001</c:v>
                </c:pt>
                <c:pt idx="55" formatCode="0.000">
                  <c:v>0.13469999999999999</c:v>
                </c:pt>
                <c:pt idx="56" formatCode="0.000">
                  <c:v>0.1318</c:v>
                </c:pt>
                <c:pt idx="57" formatCode="0.000">
                  <c:v>0.13220000000000001</c:v>
                </c:pt>
                <c:pt idx="58" formatCode="0.000">
                  <c:v>0.1358</c:v>
                </c:pt>
                <c:pt idx="59" formatCode="0.000">
                  <c:v>0.12790000000000001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8A-49D9-8AA4-1D4A47574F8F}"/>
            </c:ext>
          </c:extLst>
        </c:ser>
        <c:ser>
          <c:idx val="8"/>
          <c:order val="4"/>
          <c:tx>
            <c:strRef>
              <c:f>'F1'!$L$33</c:f>
              <c:strCache>
                <c:ptCount val="1"/>
                <c:pt idx="0">
                  <c:v>CBO before taxes and transfers, no cap gains</c:v>
                </c:pt>
              </c:strCache>
            </c:strRef>
          </c:tx>
          <c:spPr>
            <a:ln w="34925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'F1'!$L$34:$L$93</c:f>
              <c:numCache>
                <c:formatCode>General</c:formatCode>
                <c:ptCount val="60"/>
                <c:pt idx="19" formatCode="0.000">
                  <c:v>7.2598792225417805E-2</c:v>
                </c:pt>
                <c:pt idx="20" formatCode="0.000">
                  <c:v>7.3436039053799945E-2</c:v>
                </c:pt>
                <c:pt idx="21" formatCode="0.000">
                  <c:v>7.2111910779712921E-2</c:v>
                </c:pt>
                <c:pt idx="22" formatCode="0.000">
                  <c:v>7.382911316807865E-2</c:v>
                </c:pt>
                <c:pt idx="23" formatCode="0.000">
                  <c:v>7.58510401194777E-2</c:v>
                </c:pt>
                <c:pt idx="24" formatCode="0.000">
                  <c:v>7.930721083414477E-2</c:v>
                </c:pt>
                <c:pt idx="25" formatCode="0.000">
                  <c:v>8.1118352301314381E-2</c:v>
                </c:pt>
                <c:pt idx="26" formatCode="0.000">
                  <c:v>7.9150511429204609E-2</c:v>
                </c:pt>
                <c:pt idx="27" formatCode="0.000">
                  <c:v>9.4204754650387065E-2</c:v>
                </c:pt>
                <c:pt idx="28" formatCode="0.000">
                  <c:v>0.11216713671744616</c:v>
                </c:pt>
                <c:pt idx="29" formatCode="0.000">
                  <c:v>0.10708037285619286</c:v>
                </c:pt>
                <c:pt idx="30" formatCode="0.000">
                  <c:v>0.10871156098907438</c:v>
                </c:pt>
                <c:pt idx="31" formatCode="0.000">
                  <c:v>0.10108602866844513</c:v>
                </c:pt>
                <c:pt idx="32" formatCode="0.000">
                  <c:v>0.11117623331526248</c:v>
                </c:pt>
                <c:pt idx="33" formatCode="0.000">
                  <c:v>0.10626669847957401</c:v>
                </c:pt>
                <c:pt idx="34" formatCode="0.000">
                  <c:v>0.10655970105766931</c:v>
                </c:pt>
                <c:pt idx="35" formatCode="0.000">
                  <c:v>0.10922567940133912</c:v>
                </c:pt>
                <c:pt idx="36" formatCode="0.000">
                  <c:v>0.11497285311919457</c:v>
                </c:pt>
                <c:pt idx="37" formatCode="0.000">
                  <c:v>0.120529392173189</c:v>
                </c:pt>
                <c:pt idx="38" formatCode="0.000">
                  <c:v>0.1241916387259011</c:v>
                </c:pt>
                <c:pt idx="39" formatCode="0.000">
                  <c:v>0.13066478746757135</c:v>
                </c:pt>
                <c:pt idx="40" formatCode="0.000">
                  <c:v>0.13488889921472053</c:v>
                </c:pt>
                <c:pt idx="41" formatCode="0.000">
                  <c:v>0.12317047200878156</c:v>
                </c:pt>
                <c:pt idx="42" formatCode="0.000">
                  <c:v>0.11820557367328791</c:v>
                </c:pt>
                <c:pt idx="43" formatCode="0.000">
                  <c:v>0.12238555454130534</c:v>
                </c:pt>
                <c:pt idx="44" formatCode="0.000">
                  <c:v>0.13315734318837644</c:v>
                </c:pt>
                <c:pt idx="45" formatCode="0.000">
                  <c:v>0.14441043073553567</c:v>
                </c:pt>
                <c:pt idx="46" formatCode="0.000">
                  <c:v>0.14717495508916448</c:v>
                </c:pt>
                <c:pt idx="47" formatCode="0.000">
                  <c:v>0.14971637663277029</c:v>
                </c:pt>
                <c:pt idx="48" formatCode="0.000">
                  <c:v>0.14008822686909192</c:v>
                </c:pt>
                <c:pt idx="49" formatCode="0.000">
                  <c:v>0.12611198189745568</c:v>
                </c:pt>
                <c:pt idx="50" formatCode="0.000">
                  <c:v>0.13442093339374717</c:v>
                </c:pt>
                <c:pt idx="51" formatCode="0.000">
                  <c:v>0.13424527917748255</c:v>
                </c:pt>
                <c:pt idx="52" formatCode="0.000">
                  <c:v>0.14717671280883129</c:v>
                </c:pt>
                <c:pt idx="53" formatCode="0.000">
                  <c:v>0.13413226032190345</c:v>
                </c:pt>
                <c:pt idx="54" formatCode="0.000">
                  <c:v>0.13814749070631968</c:v>
                </c:pt>
                <c:pt idx="55" formatCode="0.000">
                  <c:v>0.13879218011674235</c:v>
                </c:pt>
                <c:pt idx="56" formatCode="0.000">
                  <c:v>0.1350248300467673</c:v>
                </c:pt>
                <c:pt idx="57" formatCode="0.000">
                  <c:v>0.13707992911346389</c:v>
                </c:pt>
                <c:pt idx="58" formatCode="0.000">
                  <c:v>0.13869990438464691</c:v>
                </c:pt>
                <c:pt idx="59" formatCode="0.000">
                  <c:v>0.13225809960743509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8A-49D9-8AA4-1D4A47574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217504"/>
        <c:axId val="1111217896"/>
        <c:extLst/>
      </c:lineChart>
      <c:catAx>
        <c:axId val="111121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21789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1111217896"/>
        <c:scaling>
          <c:orientation val="minMax"/>
          <c:max val="0.2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/>
                  <a:t>Top 1% Pre-tax Income Share</a:t>
                </a:r>
              </a:p>
            </c:rich>
          </c:tx>
          <c:layout>
            <c:manualLayout>
              <c:xMode val="edge"/>
              <c:yMode val="edge"/>
              <c:x val="9.2482185367606163E-4"/>
              <c:y val="0.23151356080489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217504"/>
        <c:crosses val="autoZero"/>
        <c:crossBetween val="midCat"/>
        <c:majorUnit val="4.0000000000000008E-2"/>
        <c:minorUnit val="2.0000000000000004E-2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866" r="0.75000000000000866" t="1" header="0.5" footer="0.5"/>
    <c:pageSetup orientation="landscape" verticalDpi="96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1945352424219"/>
          <c:y val="2.8732751253282039E-2"/>
          <c:w val="0.86936202604699608"/>
          <c:h val="0.77387150565880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'F2'!$A$25</c:f>
              <c:strCache>
                <c:ptCount val="1"/>
                <c:pt idx="0">
                  <c:v>Top 1% ch from AS (pp)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62-497A-A7EA-E150D2D31D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62-497A-A7EA-E150D2D31D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62-497A-A7EA-E150D2D31D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62-497A-A7EA-E150D2D31D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62-497A-A7EA-E150D2D31D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62-497A-A7EA-E150D2D31D3B}"/>
              </c:ext>
            </c:extLst>
          </c:dPt>
          <c:dLbls>
            <c:dLbl>
              <c:idx val="1"/>
              <c:layout>
                <c:manualLayout>
                  <c:x val="-5.2590855361275366E-3"/>
                  <c:y val="1.822079006493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62-497A-A7EA-E150D2D31D3B}"/>
                </c:ext>
              </c:extLst>
            </c:dLbl>
            <c:dLbl>
              <c:idx val="2"/>
              <c:layout>
                <c:manualLayout>
                  <c:x val="0"/>
                  <c:y val="2.1864948077921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62-497A-A7EA-E150D2D31D3B}"/>
                </c:ext>
              </c:extLst>
            </c:dLbl>
            <c:dLbl>
              <c:idx val="3"/>
              <c:layout>
                <c:manualLayout>
                  <c:x val="-1.0545637448294774E-16"/>
                  <c:y val="1.0932474038960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62-497A-A7EA-E150D2D31D3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B62-497A-A7EA-E150D2D31D3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B62-497A-A7EA-E150D2D31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'F2'!$B$24:$G$24</c15:sqref>
                  </c15:fullRef>
                </c:ext>
              </c:extLst>
              <c:f>('F2'!$B$24,'F2'!$E$24:$G$24)</c:f>
              <c:strCache>
                <c:ptCount val="4"/>
                <c:pt idx="0">
                  <c:v>PSZ</c:v>
                </c:pt>
                <c:pt idx="1">
                  <c:v>AS linked partnership</c:v>
                </c:pt>
                <c:pt idx="2">
                  <c:v>AS linked partn.
Sch C remove</c:v>
                </c:pt>
                <c:pt idx="3">
                  <c:v>AS expensing then linked partnership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'F2'!$B$25:$G$25</c15:sqref>
                  </c15:fullRef>
                </c:ext>
              </c:extLst>
              <c:f>('F2'!$B$25,'F2'!$E$25:$G$25)</c:f>
              <c:numCache>
                <c:formatCode>0.0</c:formatCode>
                <c:ptCount val="4"/>
                <c:pt idx="0" formatCode="General">
                  <c:v>1.2</c:v>
                </c:pt>
                <c:pt idx="1">
                  <c:v>0.14090973793507711</c:v>
                </c:pt>
                <c:pt idx="2">
                  <c:v>0.15192874893489028</c:v>
                </c:pt>
                <c:pt idx="3">
                  <c:v>5.7077887175091546E-2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'F2'!$C$25</c15:sqref>
                  <c15:spPr xmlns:c15="http://schemas.microsoft.com/office/drawing/2012/chart">
                    <a:solidFill>
                      <a:schemeClr val="bg1">
                        <a:lumMod val="65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7B62-497A-A7EA-E150D2D3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37"/>
        <c:axId val="759595632"/>
        <c:axId val="759594192"/>
      </c:barChart>
      <c:catAx>
        <c:axId val="759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594192"/>
        <c:crossesAt val="0"/>
        <c:auto val="1"/>
        <c:lblAlgn val="ctr"/>
        <c:lblOffset val="0"/>
        <c:noMultiLvlLbl val="0"/>
      </c:catAx>
      <c:valAx>
        <c:axId val="759594192"/>
        <c:scaling>
          <c:orientation val="minMax"/>
          <c:max val="1.3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Change</a:t>
                </a:r>
                <a:r>
                  <a:rPr lang="en-US" sz="1050" baseline="0">
                    <a:solidFill>
                      <a:sysClr val="windowText" lastClr="000000"/>
                    </a:solidFill>
                  </a:rPr>
                  <a:t> in top 1% share from AS baseline (pp</a:t>
                </a:r>
                <a:r>
                  <a:rPr lang="en-US" baseline="0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4.1745387696632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595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39575469692046"/>
          <c:y val="4.1466973580502331E-2"/>
          <c:w val="0.78331921837615159"/>
          <c:h val="0.75061735480038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'F3'!$A$27</c:f>
              <c:strCache>
                <c:ptCount val="1"/>
                <c:pt idx="0">
                  <c:v>Top 1% ch (pp) from AS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75-4F95-93C5-B7AF00082AD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75-4F95-93C5-B7AF00082A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75-4F95-93C5-B7AF00082AD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75-4F95-93C5-B7AF00082AD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75-4F95-93C5-B7AF00082AD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75-4F95-93C5-B7AF00082AD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75-4F95-93C5-B7AF00082ADB}"/>
              </c:ext>
            </c:extLst>
          </c:dPt>
          <c:dLbls>
            <c:dLbl>
              <c:idx val="1"/>
              <c:layout>
                <c:manualLayout>
                  <c:x val="6.1123287573173463E-17"/>
                  <c:y val="2.1759022096655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83481925455674E-2"/>
                      <c:h val="7.90351916105382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275-4F95-93C5-B7AF00082ADB}"/>
                </c:ext>
              </c:extLst>
            </c:dLbl>
            <c:dLbl>
              <c:idx val="2"/>
              <c:layout>
                <c:manualLayout>
                  <c:x val="-5.25911366621364E-3"/>
                  <c:y val="1.091982869098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75-4F95-93C5-B7AF00082ADB}"/>
                </c:ext>
              </c:extLst>
            </c:dLbl>
            <c:dLbl>
              <c:idx val="3"/>
              <c:layout>
                <c:manualLayout>
                  <c:x val="0"/>
                  <c:y val="2.1864948077921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75-4F95-93C5-B7AF00082ADB}"/>
                </c:ext>
              </c:extLst>
            </c:dLbl>
            <c:dLbl>
              <c:idx val="4"/>
              <c:layout>
                <c:manualLayout>
                  <c:x val="-1.0545637448294774E-16"/>
                  <c:y val="1.0932474038960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75-4F95-93C5-B7AF00082AD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275-4F95-93C5-B7AF00082AD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275-4F95-93C5-B7AF00082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'F3'!$B$26:$E$26</c15:sqref>
                  </c15:fullRef>
                </c:ext>
              </c:extLst>
              <c:f>('F3'!$B$26,'F3'!$D$26:$E$26)</c:f>
              <c:strCache>
                <c:ptCount val="3"/>
                <c:pt idx="0">
                  <c:v>PSZ</c:v>
                </c:pt>
                <c:pt idx="1">
                  <c:v>AS
 linked S-corp</c:v>
                </c:pt>
                <c:pt idx="2">
                  <c:v>AS
S-corp losses then linked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'F3'!$B$27:$E$27</c15:sqref>
                  </c15:fullRef>
                </c:ext>
              </c:extLst>
              <c:f>('F3'!$B$27,'F3'!$D$27:$E$27)</c:f>
              <c:numCache>
                <c:formatCode>General</c:formatCode>
                <c:ptCount val="3"/>
                <c:pt idx="0">
                  <c:v>0.3</c:v>
                </c:pt>
                <c:pt idx="1" formatCode="0.0">
                  <c:v>1.8475173009455115E-2</c:v>
                </c:pt>
                <c:pt idx="2" formatCode="0.0">
                  <c:v>-8.4695742319773615E-2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75-4F95-93C5-B7AF0008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37"/>
        <c:axId val="759595632"/>
        <c:axId val="759594192"/>
      </c:barChart>
      <c:catAx>
        <c:axId val="759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594192"/>
        <c:crossesAt val="0"/>
        <c:auto val="1"/>
        <c:lblAlgn val="ctr"/>
        <c:lblOffset val="0"/>
        <c:noMultiLvlLbl val="0"/>
      </c:catAx>
      <c:valAx>
        <c:axId val="759594192"/>
        <c:scaling>
          <c:orientation val="minMax"/>
          <c:max val="0.4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</a:rPr>
                  <a:t>Change</a:t>
                </a:r>
                <a:r>
                  <a:rPr lang="en-US" sz="1050" baseline="0">
                    <a:solidFill>
                      <a:sysClr val="windowText" lastClr="000000"/>
                    </a:solidFill>
                  </a:rPr>
                  <a:t> in top 1% share from S bseline (PP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595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692405137574"/>
          <c:y val="1.8568512269299675E-2"/>
          <c:w val="0.6012193307035073"/>
          <c:h val="0.92738386868308131"/>
        </c:manualLayout>
      </c:layout>
      <c:lineChart>
        <c:grouping val="standard"/>
        <c:varyColors val="0"/>
        <c:ser>
          <c:idx val="1"/>
          <c:order val="0"/>
          <c:tx>
            <c:strRef>
              <c:f>'A1'!$B$33</c:f>
              <c:strCache>
                <c:ptCount val="1"/>
                <c:pt idx="0">
                  <c:v>Pre-tax Income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1E3F-4F9B-BB81-0F21FC4D27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1E3F-4F9B-BB81-0F21FC4D27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E3F-4F9B-BB81-0F21FC4D2758}"/>
              </c:ext>
            </c:extLst>
          </c:dPt>
          <c:cat>
            <c:numRef>
              <c:f>'A1'!$A$34:$A$94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'A1'!$B$34:$B$94</c:f>
              <c:numCache>
                <c:formatCode>0.000</c:formatCode>
                <c:ptCount val="61"/>
                <c:pt idx="0">
                  <c:v>0.10312642343998446</c:v>
                </c:pt>
                <c:pt idx="1">
                  <c:v>0.10749726112148456</c:v>
                </c:pt>
                <c:pt idx="2">
                  <c:v>0.11141746382081576</c:v>
                </c:pt>
                <c:pt idx="3">
                  <c:v>0.11350463527979342</c:v>
                </c:pt>
                <c:pt idx="4">
                  <c:v>0.1153404952149556</c:v>
                </c:pt>
                <c:pt idx="5">
                  <c:v>0.11502269803920959</c:v>
                </c:pt>
                <c:pt idx="6">
                  <c:v>0.11475404890168528</c:v>
                </c:pt>
                <c:pt idx="7">
                  <c:v>0.11271008021809324</c:v>
                </c:pt>
                <c:pt idx="8">
                  <c:v>0.11122507421643339</c:v>
                </c:pt>
                <c:pt idx="9">
                  <c:v>0.10086905698208237</c:v>
                </c:pt>
                <c:pt idx="10">
                  <c:v>9.2774149218298962E-2</c:v>
                </c:pt>
                <c:pt idx="11">
                  <c:v>9.5586815829986252E-2</c:v>
                </c:pt>
                <c:pt idx="12">
                  <c:v>9.6902700837127417E-2</c:v>
                </c:pt>
                <c:pt idx="13">
                  <c:v>9.5274756702436306E-2</c:v>
                </c:pt>
                <c:pt idx="14">
                  <c:v>9.1502578968887083E-2</c:v>
                </c:pt>
                <c:pt idx="15">
                  <c:v>9.2705446977149109E-2</c:v>
                </c:pt>
                <c:pt idx="16">
                  <c:v>9.3643030909225503E-2</c:v>
                </c:pt>
                <c:pt idx="17">
                  <c:v>9.3288610010785034E-2</c:v>
                </c:pt>
                <c:pt idx="18">
                  <c:v>9.282576570921168E-2</c:v>
                </c:pt>
                <c:pt idx="19">
                  <c:v>9.4070924937761549E-2</c:v>
                </c:pt>
                <c:pt idx="20">
                  <c:v>9.2002961738561317E-2</c:v>
                </c:pt>
                <c:pt idx="21">
                  <c:v>8.8426428447948471E-2</c:v>
                </c:pt>
                <c:pt idx="22">
                  <c:v>9.0614387946887795E-2</c:v>
                </c:pt>
                <c:pt idx="23">
                  <c:v>9.4112644594859865E-2</c:v>
                </c:pt>
                <c:pt idx="24">
                  <c:v>9.5901991841306072E-2</c:v>
                </c:pt>
                <c:pt idx="25">
                  <c:v>9.7255231594784455E-2</c:v>
                </c:pt>
                <c:pt idx="26">
                  <c:v>9.7148627151826886E-2</c:v>
                </c:pt>
                <c:pt idx="27">
                  <c:v>9.6692932756861874E-2</c:v>
                </c:pt>
                <c:pt idx="28">
                  <c:v>0.11249268915084298</c:v>
                </c:pt>
                <c:pt idx="29">
                  <c:v>0.10803245685896695</c:v>
                </c:pt>
                <c:pt idx="30">
                  <c:v>0.10766860304457467</c:v>
                </c:pt>
                <c:pt idx="31">
                  <c:v>0.1049527343746544</c:v>
                </c:pt>
                <c:pt idx="32">
                  <c:v>0.11182670858236057</c:v>
                </c:pt>
                <c:pt idx="33">
                  <c:v>0.10563438276548648</c:v>
                </c:pt>
                <c:pt idx="34">
                  <c:v>0.10583792699219721</c:v>
                </c:pt>
                <c:pt idx="35">
                  <c:v>0.11120233705499301</c:v>
                </c:pt>
                <c:pt idx="36">
                  <c:v>0.11578063250363062</c:v>
                </c:pt>
                <c:pt idx="37">
                  <c:v>0.12152306304405473</c:v>
                </c:pt>
                <c:pt idx="38">
                  <c:v>0.1235028643097314</c:v>
                </c:pt>
                <c:pt idx="39">
                  <c:v>0.12784542314203862</c:v>
                </c:pt>
                <c:pt idx="40">
                  <c:v>0.13289372751555226</c:v>
                </c:pt>
                <c:pt idx="41">
                  <c:v>0.12284943924708812</c:v>
                </c:pt>
                <c:pt idx="42">
                  <c:v>0.11651728187283869</c:v>
                </c:pt>
                <c:pt idx="43">
                  <c:v>0.12090609337273232</c:v>
                </c:pt>
                <c:pt idx="44">
                  <c:v>0.13042465681242077</c:v>
                </c:pt>
                <c:pt idx="45">
                  <c:v>0.14078954752135975</c:v>
                </c:pt>
                <c:pt idx="46">
                  <c:v>0.14538740941795281</c:v>
                </c:pt>
                <c:pt idx="47">
                  <c:v>0.14532352341551816</c:v>
                </c:pt>
                <c:pt idx="48">
                  <c:v>0.13655443635794021</c:v>
                </c:pt>
                <c:pt idx="49">
                  <c:v>0.12760173003234107</c:v>
                </c:pt>
                <c:pt idx="50">
                  <c:v>0.13819847941779137</c:v>
                </c:pt>
                <c:pt idx="51">
                  <c:v>0.13447749905738249</c:v>
                </c:pt>
                <c:pt idx="52">
                  <c:v>0.14880178677187605</c:v>
                </c:pt>
                <c:pt idx="53">
                  <c:v>0.13581085769098403</c:v>
                </c:pt>
                <c:pt idx="54">
                  <c:v>0.14170025784965681</c:v>
                </c:pt>
                <c:pt idx="55">
                  <c:v>0.13763444903518479</c:v>
                </c:pt>
                <c:pt idx="56">
                  <c:v>0.13419554909877796</c:v>
                </c:pt>
                <c:pt idx="57">
                  <c:v>0.14138500814474045</c:v>
                </c:pt>
                <c:pt idx="58">
                  <c:v>0.14229334164738572</c:v>
                </c:pt>
                <c:pt idx="59">
                  <c:v>0.13785770525864624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3F-4F9B-BB81-0F21FC4D2758}"/>
            </c:ext>
          </c:extLst>
        </c:ser>
        <c:ser>
          <c:idx val="8"/>
          <c:order val="1"/>
          <c:tx>
            <c:strRef>
              <c:f>'A1'!$F$33</c:f>
              <c:strCache>
                <c:ptCount val="1"/>
                <c:pt idx="0">
                  <c:v>Before taxes and transfers, no cap gains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olid"/>
            </a:ln>
          </c:spPr>
          <c:marker>
            <c:symbol val="none"/>
          </c:marker>
          <c:val>
            <c:numRef>
              <c:f>'A1'!$F$34:$F$93</c:f>
              <c:numCache>
                <c:formatCode>General</c:formatCode>
                <c:ptCount val="60"/>
                <c:pt idx="19" formatCode="0.000">
                  <c:v>7.1987340582207876E-2</c:v>
                </c:pt>
                <c:pt idx="20" formatCode="0.000">
                  <c:v>7.3465774875918988E-2</c:v>
                </c:pt>
                <c:pt idx="21" formatCode="0.000">
                  <c:v>7.2842674371518312E-2</c:v>
                </c:pt>
                <c:pt idx="22" formatCode="0.000">
                  <c:v>7.5258826001681142E-2</c:v>
                </c:pt>
                <c:pt idx="23" formatCode="0.000">
                  <c:v>7.7665149677694167E-2</c:v>
                </c:pt>
                <c:pt idx="24" formatCode="0.000">
                  <c:v>8.1335223716994406E-2</c:v>
                </c:pt>
                <c:pt idx="25" formatCode="0.000">
                  <c:v>8.3472498431469477E-2</c:v>
                </c:pt>
                <c:pt idx="26" formatCode="0.000">
                  <c:v>8.2560057907264867E-2</c:v>
                </c:pt>
                <c:pt idx="27" formatCode="0.000">
                  <c:v>9.1727799227799237E-2</c:v>
                </c:pt>
                <c:pt idx="28" formatCode="0.000">
                  <c:v>0.1094279654925676</c:v>
                </c:pt>
                <c:pt idx="29" formatCode="0.000">
                  <c:v>0.10443070260171078</c:v>
                </c:pt>
                <c:pt idx="30" formatCode="0.000">
                  <c:v>0.10582394540706429</c:v>
                </c:pt>
                <c:pt idx="31" formatCode="0.000">
                  <c:v>9.9617593569121157E-2</c:v>
                </c:pt>
                <c:pt idx="32" formatCode="0.000">
                  <c:v>0.10844006465503633</c:v>
                </c:pt>
                <c:pt idx="33" formatCode="0.000">
                  <c:v>0.10363679308417248</c:v>
                </c:pt>
                <c:pt idx="34" formatCode="0.000">
                  <c:v>0.10347358951884486</c:v>
                </c:pt>
                <c:pt idx="35" formatCode="0.000">
                  <c:v>0.10672729491979598</c:v>
                </c:pt>
                <c:pt idx="36" formatCode="0.000">
                  <c:v>0.11332867668980791</c:v>
                </c:pt>
                <c:pt idx="37" formatCode="0.000">
                  <c:v>0.11750591462474957</c:v>
                </c:pt>
                <c:pt idx="38" formatCode="0.000">
                  <c:v>0.11867589274003057</c:v>
                </c:pt>
                <c:pt idx="39" formatCode="0.000">
                  <c:v>0.12603937621832362</c:v>
                </c:pt>
                <c:pt idx="40" formatCode="0.000">
                  <c:v>0.13190054582130289</c:v>
                </c:pt>
                <c:pt idx="41" formatCode="0.000">
                  <c:v>0.12005979997632857</c:v>
                </c:pt>
                <c:pt idx="42" formatCode="0.000">
                  <c:v>0.11326047827932645</c:v>
                </c:pt>
                <c:pt idx="43" formatCode="0.000">
                  <c:v>0.11731115276476099</c:v>
                </c:pt>
                <c:pt idx="44" formatCode="0.000">
                  <c:v>0.12747520397961817</c:v>
                </c:pt>
                <c:pt idx="45" formatCode="0.000">
                  <c:v>0.13654813000084923</c:v>
                </c:pt>
                <c:pt idx="46" formatCode="0.000">
                  <c:v>0.14025193050193052</c:v>
                </c:pt>
                <c:pt idx="47" formatCode="0.000">
                  <c:v>0.14210786109021945</c:v>
                </c:pt>
                <c:pt idx="48" formatCode="0.000">
                  <c:v>0.13304191850652827</c:v>
                </c:pt>
                <c:pt idx="49" formatCode="0.000">
                  <c:v>0.12060418994301549</c:v>
                </c:pt>
                <c:pt idx="50" formatCode="0.000">
                  <c:v>0.12778956783084705</c:v>
                </c:pt>
                <c:pt idx="51" formatCode="0.000">
                  <c:v>0.12639326294877032</c:v>
                </c:pt>
                <c:pt idx="52" formatCode="0.000">
                  <c:v>0.13967612905220639</c:v>
                </c:pt>
                <c:pt idx="53" formatCode="0.000">
                  <c:v>0.12872302822109</c:v>
                </c:pt>
                <c:pt idx="54" formatCode="0.000">
                  <c:v>0.13330783634097207</c:v>
                </c:pt>
                <c:pt idx="55" formatCode="0.000">
                  <c:v>0.13153456888652423</c:v>
                </c:pt>
                <c:pt idx="56" formatCode="0.000">
                  <c:v>0.12735415967691829</c:v>
                </c:pt>
                <c:pt idx="57" formatCode="0.000">
                  <c:v>0.12909930675458353</c:v>
                </c:pt>
                <c:pt idx="58" formatCode="0.000">
                  <c:v>0.12852195945945949</c:v>
                </c:pt>
                <c:pt idx="59" formatCode="0.000">
                  <c:v>0.12509521349306296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3F-4F9B-BB81-0F21FC4D2758}"/>
            </c:ext>
          </c:extLst>
        </c:ser>
        <c:ser>
          <c:idx val="9"/>
          <c:order val="2"/>
          <c:tx>
            <c:strRef>
              <c:f>'A1'!$G$33</c:f>
              <c:strCache>
                <c:ptCount val="1"/>
                <c:pt idx="0">
                  <c:v>Before taxes/trans, no cap gains (PS)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val>
            <c:numRef>
              <c:f>'A1'!$G$34:$G$94</c:f>
              <c:numCache>
                <c:formatCode>General</c:formatCode>
                <c:ptCount val="61"/>
                <c:pt idx="19" formatCode="0.000">
                  <c:v>7.2598792225417805E-2</c:v>
                </c:pt>
                <c:pt idx="20" formatCode="0.000">
                  <c:v>7.3436039053799945E-2</c:v>
                </c:pt>
                <c:pt idx="21" formatCode="0.000">
                  <c:v>7.2111910779712921E-2</c:v>
                </c:pt>
                <c:pt idx="22" formatCode="0.000">
                  <c:v>7.382911316807865E-2</c:v>
                </c:pt>
                <c:pt idx="23" formatCode="0.000">
                  <c:v>7.58510401194777E-2</c:v>
                </c:pt>
                <c:pt idx="24" formatCode="0.000">
                  <c:v>7.930721083414477E-2</c:v>
                </c:pt>
                <c:pt idx="25" formatCode="0.000">
                  <c:v>8.1118352301314381E-2</c:v>
                </c:pt>
                <c:pt idx="26" formatCode="0.000">
                  <c:v>7.9150511429204609E-2</c:v>
                </c:pt>
                <c:pt idx="27" formatCode="0.000">
                  <c:v>9.4204754650387065E-2</c:v>
                </c:pt>
                <c:pt idx="28" formatCode="0.000">
                  <c:v>0.11216713671744616</c:v>
                </c:pt>
                <c:pt idx="29" formatCode="0.000">
                  <c:v>0.10708037285619286</c:v>
                </c:pt>
                <c:pt idx="30" formatCode="0.000">
                  <c:v>0.10871156098907438</c:v>
                </c:pt>
                <c:pt idx="31" formatCode="0.000">
                  <c:v>0.10108602866844513</c:v>
                </c:pt>
                <c:pt idx="32" formatCode="0.000">
                  <c:v>0.11117623331526248</c:v>
                </c:pt>
                <c:pt idx="33" formatCode="0.000">
                  <c:v>0.10626669847957401</c:v>
                </c:pt>
                <c:pt idx="34" formatCode="0.000">
                  <c:v>0.10655970105766931</c:v>
                </c:pt>
                <c:pt idx="35" formatCode="0.000">
                  <c:v>0.10922567940133912</c:v>
                </c:pt>
                <c:pt idx="36" formatCode="0.000">
                  <c:v>0.11497285311919457</c:v>
                </c:pt>
                <c:pt idx="37" formatCode="0.000">
                  <c:v>0.120529392173189</c:v>
                </c:pt>
                <c:pt idx="38" formatCode="0.000">
                  <c:v>0.1241916387259011</c:v>
                </c:pt>
                <c:pt idx="39" formatCode="0.000">
                  <c:v>0.13066478746757135</c:v>
                </c:pt>
                <c:pt idx="40" formatCode="0.000">
                  <c:v>0.13488889921472053</c:v>
                </c:pt>
                <c:pt idx="41" formatCode="0.000">
                  <c:v>0.12317047200878156</c:v>
                </c:pt>
                <c:pt idx="42" formatCode="0.000">
                  <c:v>0.11820557367328791</c:v>
                </c:pt>
                <c:pt idx="43" formatCode="0.000">
                  <c:v>0.12238555454130534</c:v>
                </c:pt>
                <c:pt idx="44" formatCode="0.000">
                  <c:v>0.13315734318837644</c:v>
                </c:pt>
                <c:pt idx="45" formatCode="0.000">
                  <c:v>0.14441043073553567</c:v>
                </c:pt>
                <c:pt idx="46" formatCode="0.000">
                  <c:v>0.14717495508916448</c:v>
                </c:pt>
                <c:pt idx="47" formatCode="0.000">
                  <c:v>0.14971637663277029</c:v>
                </c:pt>
                <c:pt idx="48" formatCode="0.000">
                  <c:v>0.14008822686909192</c:v>
                </c:pt>
                <c:pt idx="49" formatCode="0.000">
                  <c:v>0.12611198189745568</c:v>
                </c:pt>
                <c:pt idx="50" formatCode="0.000">
                  <c:v>0.13442093339374717</c:v>
                </c:pt>
                <c:pt idx="51" formatCode="0.000">
                  <c:v>0.13424527917748255</c:v>
                </c:pt>
                <c:pt idx="52" formatCode="0.000">
                  <c:v>0.14717671280883129</c:v>
                </c:pt>
                <c:pt idx="53" formatCode="0.000">
                  <c:v>0.13413226032190345</c:v>
                </c:pt>
                <c:pt idx="54" formatCode="0.000">
                  <c:v>0.13814749070631968</c:v>
                </c:pt>
                <c:pt idx="55" formatCode="0.000">
                  <c:v>0.13879218011674235</c:v>
                </c:pt>
                <c:pt idx="56" formatCode="0.000">
                  <c:v>0.1350248300467673</c:v>
                </c:pt>
                <c:pt idx="57" formatCode="0.000">
                  <c:v>0.13707992911346389</c:v>
                </c:pt>
                <c:pt idx="58" formatCode="0.000">
                  <c:v>0.13869990438464691</c:v>
                </c:pt>
                <c:pt idx="59" formatCode="0.000">
                  <c:v>0.13225809960743509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3F-4F9B-BB81-0F21FC4D2758}"/>
            </c:ext>
          </c:extLst>
        </c:ser>
        <c:ser>
          <c:idx val="10"/>
          <c:order val="3"/>
          <c:tx>
            <c:strRef>
              <c:f>'A1'!$H$33</c:f>
              <c:strCache>
                <c:ptCount val="1"/>
                <c:pt idx="0">
                  <c:v>CBO before taxes/trans, with cap gains (5yr avg)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'A1'!$H$34:$H$93</c:f>
              <c:numCache>
                <c:formatCode>General</c:formatCode>
                <c:ptCount val="60"/>
                <c:pt idx="19" formatCode="0.000">
                  <c:v>0.09</c:v>
                </c:pt>
                <c:pt idx="20" formatCode="0.000">
                  <c:v>9.1249999999999998E-2</c:v>
                </c:pt>
                <c:pt idx="21" formatCode="0.000">
                  <c:v>9.3399999999999997E-2</c:v>
                </c:pt>
                <c:pt idx="22" formatCode="0.000">
                  <c:v>9.6800000000000011E-2</c:v>
                </c:pt>
                <c:pt idx="23" formatCode="0.000">
                  <c:v>0.1014</c:v>
                </c:pt>
                <c:pt idx="24" formatCode="0.000">
                  <c:v>0.111</c:v>
                </c:pt>
                <c:pt idx="25" formatCode="0.000">
                  <c:v>0.1142</c:v>
                </c:pt>
                <c:pt idx="26" formatCode="0.000">
                  <c:v>0.1202</c:v>
                </c:pt>
                <c:pt idx="27" formatCode="0.000">
                  <c:v>0.1234</c:v>
                </c:pt>
                <c:pt idx="28" formatCode="0.000">
                  <c:v>0.12479999999999998</c:v>
                </c:pt>
                <c:pt idx="29" formatCode="0.000">
                  <c:v>0.11939999999999999</c:v>
                </c:pt>
                <c:pt idx="30" formatCode="0.000">
                  <c:v>0.12140000000000001</c:v>
                </c:pt>
                <c:pt idx="31" formatCode="0.000">
                  <c:v>0.1186</c:v>
                </c:pt>
                <c:pt idx="32" formatCode="0.000">
                  <c:v>0.1176</c:v>
                </c:pt>
                <c:pt idx="33" formatCode="0.000">
                  <c:v>0.11819999999999999</c:v>
                </c:pt>
                <c:pt idx="34" formatCode="0.000">
                  <c:v>0.1232</c:v>
                </c:pt>
                <c:pt idx="35" formatCode="0.000">
                  <c:v>0.12839999999999999</c:v>
                </c:pt>
                <c:pt idx="36" formatCode="0.000">
                  <c:v>0.13580000000000003</c:v>
                </c:pt>
                <c:pt idx="37" formatCode="0.000">
                  <c:v>0.1452</c:v>
                </c:pt>
                <c:pt idx="38" formatCode="0.000">
                  <c:v>0.15580000000000002</c:v>
                </c:pt>
                <c:pt idx="39" formatCode="0.000">
                  <c:v>0.15780000000000002</c:v>
                </c:pt>
                <c:pt idx="40" formatCode="0.000">
                  <c:v>0.155</c:v>
                </c:pt>
                <c:pt idx="41" formatCode="0.000">
                  <c:v>0.1522</c:v>
                </c:pt>
                <c:pt idx="42" formatCode="0.000">
                  <c:v>0.15140000000000001</c:v>
                </c:pt>
                <c:pt idx="43" formatCode="0.000">
                  <c:v>0.152</c:v>
                </c:pt>
                <c:pt idx="44" formatCode="0.000">
                  <c:v>0.16</c:v>
                </c:pt>
                <c:pt idx="45" formatCode="0.000">
                  <c:v>0.17180000000000001</c:v>
                </c:pt>
                <c:pt idx="46" formatCode="0.000">
                  <c:v>0.17639999999999997</c:v>
                </c:pt>
                <c:pt idx="47" formatCode="0.000">
                  <c:v>0.1716</c:v>
                </c:pt>
                <c:pt idx="48" formatCode="0.000">
                  <c:v>0.16639999999999996</c:v>
                </c:pt>
                <c:pt idx="49" formatCode="0.000">
                  <c:v>0.15939999999999999</c:v>
                </c:pt>
                <c:pt idx="50" formatCode="0.000">
                  <c:v>0.15659999999999999</c:v>
                </c:pt>
                <c:pt idx="51" formatCode="0.000">
                  <c:v>0.15460000000000002</c:v>
                </c:pt>
                <c:pt idx="52" formatCode="0.000">
                  <c:v>0.16059999999999999</c:v>
                </c:pt>
                <c:pt idx="53" formatCode="0.000">
                  <c:v>0.16320000000000001</c:v>
                </c:pt>
                <c:pt idx="54" formatCode="0.000">
                  <c:v>0.1646</c:v>
                </c:pt>
                <c:pt idx="55" formatCode="0.000">
                  <c:v>0.16219999999999998</c:v>
                </c:pt>
                <c:pt idx="56" formatCode="0.000">
                  <c:v>0.16459999999999997</c:v>
                </c:pt>
                <c:pt idx="57" formatCode="0.000">
                  <c:v>0.16300000000000003</c:v>
                </c:pt>
                <c:pt idx="58" formatCode="0.000">
                  <c:v>0.16225000000000001</c:v>
                </c:pt>
                <c:pt idx="59" formatCode="0.000">
                  <c:v>0.16366666666666668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3F-4F9B-BB81-0F21FC4D2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1217504"/>
        <c:axId val="1111217896"/>
        <c:extLst/>
      </c:lineChart>
      <c:catAx>
        <c:axId val="111121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21789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1111217896"/>
        <c:scaling>
          <c:orientation val="minMax"/>
          <c:max val="0.2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/>
                  <a:t>Top 1% Pre-tax Income Share</a:t>
                </a:r>
              </a:p>
            </c:rich>
          </c:tx>
          <c:layout>
            <c:manualLayout>
              <c:xMode val="edge"/>
              <c:yMode val="edge"/>
              <c:x val="9.2488898834302234E-4"/>
              <c:y val="0.174430727319268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1217504"/>
        <c:crosses val="autoZero"/>
        <c:crossBetween val="midCat"/>
        <c:majorUnit val="4.0000000000000008E-2"/>
        <c:minorUnit val="2.0000000000000004E-2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866" r="0.75000000000000866" t="1" header="0.5" footer="0.5"/>
    <c:pageSetup orientation="landscape" verticalDpi="96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181882</xdr:colOff>
      <xdr:row>2</xdr:row>
      <xdr:rowOff>75745</xdr:rowOff>
    </xdr:from>
    <xdr:to>
      <xdr:col>8</xdr:col>
      <xdr:colOff>127453</xdr:colOff>
      <xdr:row>25</xdr:row>
      <xdr:rowOff>148770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E6DE96-F862-4420-BE29-31A12F6E7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0.60859</cdr:x>
      <cdr:y>0.44694</cdr:y>
    </cdr:from>
    <cdr:to>
      <cdr:x>0.79006</cdr:x>
      <cdr:y>0.51466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096446" y="1992325"/>
          <a:ext cx="1221475" cy="301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300"/>
            </a:lnSpc>
          </a:pPr>
          <a:r>
            <a:rPr lang="en-US" sz="1400" b="1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Census </a:t>
          </a:r>
        </a:p>
      </cdr:txBody>
    </cdr:sp>
  </cdr:relSizeAnchor>
  <cdr:relSizeAnchor xmlns:cdr="http://schemas.openxmlformats.org/drawingml/2006/chartDrawing">
    <cdr:from>
      <cdr:x>0.71159</cdr:x>
      <cdr:y>0.27721</cdr:y>
    </cdr:from>
    <cdr:to>
      <cdr:x>0.92454</cdr:x>
      <cdr:y>0.34188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789714" y="1235697"/>
          <a:ext cx="1433343" cy="28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50"/>
            </a:lnSpc>
          </a:pPr>
          <a:r>
            <a:rPr lang="en-US" sz="13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Auten-Splinter</a:t>
          </a:r>
        </a:p>
      </cdr:txBody>
    </cdr:sp>
  </cdr:relSizeAnchor>
  <cdr:relSizeAnchor xmlns:cdr="http://schemas.openxmlformats.org/drawingml/2006/chartDrawing">
    <cdr:from>
      <cdr:x>0.65935</cdr:x>
      <cdr:y>0.03593</cdr:y>
    </cdr:from>
    <cdr:to>
      <cdr:x>0.85875</cdr:x>
      <cdr:y>0.11427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38110" y="160143"/>
          <a:ext cx="1342161" cy="349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500"/>
            </a:lnSpc>
          </a:pPr>
          <a:r>
            <a:rPr lang="en-US" sz="16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PSZ               </a:t>
          </a:r>
          <a:endParaRPr lang="en-US" sz="1400" b="1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0.68116</cdr:x>
      <cdr:y>0.35756</cdr:y>
    </cdr:from>
    <cdr:to>
      <cdr:x>0.83446</cdr:x>
      <cdr:y>0.43907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4E2D365-8CF6-55C6-43AD-61F60890D360}"/>
            </a:ext>
          </a:extLst>
        </cdr:cNvPr>
        <cdr:cNvSpPr txBox="1"/>
      </cdr:nvSpPr>
      <cdr:spPr>
        <a:xfrm xmlns:a="http://schemas.openxmlformats.org/drawingml/2006/main">
          <a:off x="4584920" y="1593896"/>
          <a:ext cx="1031863" cy="363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en-US" sz="1400" b="1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BEA</a:t>
          </a:r>
        </a:p>
      </cdr:txBody>
    </cdr:sp>
  </cdr:relSizeAnchor>
  <cdr:relSizeAnchor xmlns:cdr="http://schemas.openxmlformats.org/drawingml/2006/chartDrawing">
    <cdr:from>
      <cdr:x>0.68674</cdr:x>
      <cdr:y>0.32456</cdr:y>
    </cdr:from>
    <cdr:to>
      <cdr:x>0.96631</cdr:x>
      <cdr:y>0.36427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0F88DD8E-25D1-4312-DC4C-EDE50D609224}"/>
            </a:ext>
          </a:extLst>
        </cdr:cNvPr>
        <cdr:cNvSpPr txBox="1"/>
      </cdr:nvSpPr>
      <cdr:spPr>
        <a:xfrm xmlns:a="http://schemas.openxmlformats.org/drawingml/2006/main">
          <a:off x="4622423" y="1446792"/>
          <a:ext cx="1881792" cy="176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900"/>
            </a:lnSpc>
          </a:pPr>
          <a:r>
            <a:rPr lang="en-US" sz="14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CBO</a:t>
          </a:r>
          <a:r>
            <a:rPr lang="en-US" sz="1400" b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cap gains</a:t>
          </a:r>
          <a:endParaRPr lang="en-US" sz="1400" b="1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0.56268</cdr:x>
      <cdr:y>0.42114</cdr:y>
    </cdr:from>
    <cdr:to>
      <cdr:x>0.64096</cdr:x>
      <cdr:y>0.46854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224560CB-7E51-E0D6-BB55-03594A75120F}"/>
            </a:ext>
          </a:extLst>
        </cdr:cNvPr>
        <cdr:cNvCxnSpPr/>
      </cdr:nvCxnSpPr>
      <cdr:spPr>
        <a:xfrm xmlns:a="http://schemas.openxmlformats.org/drawingml/2006/main">
          <a:off x="3787394" y="1877315"/>
          <a:ext cx="526903" cy="21129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bg2">
              <a:lumMod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74840</xdr:colOff>
      <xdr:row>2</xdr:row>
      <xdr:rowOff>81083</xdr:rowOff>
    </xdr:from>
    <xdr:to>
      <xdr:col>4</xdr:col>
      <xdr:colOff>476250</xdr:colOff>
      <xdr:row>19</xdr:row>
      <xdr:rowOff>80282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B85D62-0987-4E99-AB8F-BF38B9C01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0.44171</cdr:x>
      <cdr:y>0.27816</cdr:y>
    </cdr:from>
    <cdr:to>
      <cdr:x>0.85954</cdr:x>
      <cdr:y>0.53806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5F0A29A-2FF8-73C3-902A-354299F0C864}"/>
            </a:ext>
          </a:extLst>
        </cdr:cNvPr>
        <cdr:cNvSpPr txBox="1"/>
      </cdr:nvSpPr>
      <cdr:spPr>
        <a:xfrm xmlns:a="http://schemas.openxmlformats.org/drawingml/2006/main">
          <a:off x="2268310" y="900594"/>
          <a:ext cx="2145706" cy="841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00000"/>
            </a:lnSpc>
          </a:pPr>
          <a:r>
            <a:rPr lang="en-US" sz="14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Partnership linked data imply small       top 1% share effects relative to AS baseline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470648</xdr:colOff>
      <xdr:row>1</xdr:row>
      <xdr:rowOff>175295</xdr:rowOff>
    </xdr:from>
    <xdr:to>
      <xdr:col>4</xdr:col>
      <xdr:colOff>806021</xdr:colOff>
      <xdr:row>20</xdr:row>
      <xdr:rowOff>34421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95593C6-7EBB-443F-A059-0FEED3FE7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0.36254</cdr:x>
      <cdr:y>0.2813</cdr:y>
    </cdr:from>
    <cdr:to>
      <cdr:x>0.98327</cdr:x>
      <cdr:y>0.48264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5F0A29A-2FF8-73C3-902A-354299F0C864}"/>
            </a:ext>
          </a:extLst>
        </cdr:cNvPr>
        <cdr:cNvSpPr txBox="1"/>
      </cdr:nvSpPr>
      <cdr:spPr>
        <a:xfrm xmlns:a="http://schemas.openxmlformats.org/drawingml/2006/main">
          <a:off x="1380986" y="978547"/>
          <a:ext cx="2364483" cy="700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00000"/>
            </a:lnSpc>
          </a:pPr>
          <a:r>
            <a:rPr lang="en-US" sz="14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Linked S-corp data show small top </a:t>
          </a:r>
          <a:r>
            <a:rPr lang="en-US" sz="1400" b="1" baseline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4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1% effects relative to AS baseline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278108</xdr:colOff>
      <xdr:row>1</xdr:row>
      <xdr:rowOff>163285</xdr:rowOff>
    </xdr:from>
    <xdr:to>
      <xdr:col>8</xdr:col>
      <xdr:colOff>5216</xdr:colOff>
      <xdr:row>25</xdr:row>
      <xdr:rowOff>40954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B520AA-8870-4004-8F47-463BF07C1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0.69994</cdr:x>
      <cdr:y>0.26262</cdr:y>
    </cdr:from>
    <cdr:to>
      <cdr:x>0.9413</cdr:x>
      <cdr:y>0.33258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43395" y="1168576"/>
          <a:ext cx="1566701" cy="311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50"/>
            </a:lnSpc>
          </a:pPr>
          <a:r>
            <a:rPr lang="en-US" sz="13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Auten-Splinter</a:t>
          </a:r>
        </a:p>
      </cdr:txBody>
    </cdr:sp>
  </cdr:relSizeAnchor>
  <cdr:relSizeAnchor xmlns:cdr="http://schemas.openxmlformats.org/drawingml/2006/chartDrawing">
    <cdr:from>
      <cdr:x>0.70219</cdr:x>
      <cdr:y>0.3102</cdr:y>
    </cdr:from>
    <cdr:to>
      <cdr:x>0.99744</cdr:x>
      <cdr:y>0.371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4E2D365-8CF6-55C6-43AD-61F60890D360}"/>
            </a:ext>
          </a:extLst>
        </cdr:cNvPr>
        <cdr:cNvSpPr txBox="1"/>
      </cdr:nvSpPr>
      <cdr:spPr>
        <a:xfrm xmlns:a="http://schemas.openxmlformats.org/drawingml/2006/main">
          <a:off x="4548428" y="1380271"/>
          <a:ext cx="1912495" cy="27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CBO</a:t>
          </a:r>
          <a:r>
            <a:rPr lang="en-US" sz="105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US" sz="11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cap gains (PS)</a:t>
          </a:r>
          <a:endParaRPr lang="en-US" sz="14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0.64836</cdr:x>
      <cdr:y>0.12966</cdr:y>
    </cdr:from>
    <cdr:to>
      <cdr:x>1</cdr:x>
      <cdr:y>0.20475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4D77326-21EA-1364-08BF-F5ECEE302C6B}"/>
            </a:ext>
          </a:extLst>
        </cdr:cNvPr>
        <cdr:cNvSpPr txBox="1"/>
      </cdr:nvSpPr>
      <cdr:spPr>
        <a:xfrm xmlns:a="http://schemas.openxmlformats.org/drawingml/2006/main">
          <a:off x="4199770" y="576943"/>
          <a:ext cx="2277717" cy="334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en-US" sz="14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CBO </a:t>
          </a:r>
          <a:r>
            <a:rPr lang="en-US" sz="105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with cap gains </a:t>
          </a:r>
          <a:r>
            <a:rPr lang="en-US" sz="1000" b="1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(smoothed)</a:t>
          </a:r>
          <a:endParaRPr lang="en-US" sz="1400" b="1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0.65967</cdr:x>
      <cdr:y>0.37514</cdr:y>
    </cdr:from>
    <cdr:to>
      <cdr:x>1</cdr:x>
      <cdr:y>0.47269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0F88DD8E-25D1-4312-DC4C-EDE50D609224}"/>
            </a:ext>
          </a:extLst>
        </cdr:cNvPr>
        <cdr:cNvSpPr txBox="1"/>
      </cdr:nvSpPr>
      <cdr:spPr>
        <a:xfrm xmlns:a="http://schemas.openxmlformats.org/drawingml/2006/main">
          <a:off x="4273021" y="1669249"/>
          <a:ext cx="2204467" cy="43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CBO</a:t>
          </a:r>
          <a:r>
            <a:rPr lang="en-US" sz="9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no </a:t>
          </a:r>
          <a:r>
            <a:rPr lang="en-US" sz="105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cap gains (removed) </a:t>
          </a:r>
          <a:endParaRPr lang="en-US" sz="12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0.40807</cdr:x>
      <cdr:y>0.49724</cdr:y>
    </cdr:from>
    <cdr:to>
      <cdr:x>0.71741</cdr:x>
      <cdr:y>0.59479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DC009C6-BD18-7D2B-F922-E4CFC7DFB658}"/>
            </a:ext>
          </a:extLst>
        </cdr:cNvPr>
        <cdr:cNvSpPr txBox="1"/>
      </cdr:nvSpPr>
      <cdr:spPr>
        <a:xfrm xmlns:a="http://schemas.openxmlformats.org/drawingml/2006/main">
          <a:off x="2643256" y="2212561"/>
          <a:ext cx="2003776" cy="43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sz="11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CBO</a:t>
          </a:r>
          <a:r>
            <a:rPr lang="en-US" sz="11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does not control for corp. retained earnings or TRA86 </a:t>
          </a:r>
          <a:endParaRPr lang="en-US" sz="105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0.40475</cdr:x>
      <cdr:y>0.49699</cdr:y>
    </cdr:from>
    <cdr:to>
      <cdr:x>0.42843</cdr:x>
      <cdr:y>0.58262</cdr:y>
    </cdr:to>
    <cdr:sp macro="" textlink="">
      <cdr:nvSpPr>
        <cdr:cNvPr id="8" name="Right Brace 7">
          <a:extLst xmlns:a="http://schemas.openxmlformats.org/drawingml/2006/main">
            <a:ext uri="{FF2B5EF4-FFF2-40B4-BE49-F238E27FC236}">
              <a16:creationId xmlns:a16="http://schemas.microsoft.com/office/drawing/2014/main" id="{6B34F2F5-A3F8-3185-18D7-09BC9C152694}"/>
            </a:ext>
          </a:extLst>
        </cdr:cNvPr>
        <cdr:cNvSpPr/>
      </cdr:nvSpPr>
      <cdr:spPr>
        <a:xfrm xmlns:a="http://schemas.openxmlformats.org/drawingml/2006/main">
          <a:off x="2621769" y="2211455"/>
          <a:ext cx="153393" cy="381001"/>
        </a:xfrm>
        <a:prstGeom xmlns:a="http://schemas.openxmlformats.org/drawingml/2006/main" prst="rightBrace">
          <a:avLst/>
        </a:prstGeom>
        <a:ln xmlns:a="http://schemas.openxmlformats.org/drawingml/2006/main" w="158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bo.gov/system/files/2022-11/58353-supplemental-data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CDD5-5648-415B-A03D-9EB85A9E26D5}">
  <dimension ref="A1:R111"/>
  <sheetViews>
    <sheetView tabSelected="1" zoomScale="70" zoomScaleNormal="70" workbookViewId="0">
      <selection activeCell="K4" sqref="K4"/>
    </sheetView>
  </sheetViews>
  <sheetFormatPr defaultRowHeight="15" x14ac:dyDescent="0.25"/>
  <cols>
    <col min="2" max="2" width="12.140625" customWidth="1"/>
    <col min="3" max="3" width="12" customWidth="1"/>
    <col min="4" max="4" width="11.140625" customWidth="1"/>
    <col min="6" max="6" width="13.85546875" customWidth="1"/>
    <col min="7" max="8" width="17.140625" customWidth="1"/>
    <col min="10" max="10" width="10.7109375" customWidth="1"/>
    <col min="11" max="11" width="11.42578125" customWidth="1"/>
    <col min="12" max="12" width="17.28515625" customWidth="1"/>
    <col min="13" max="13" width="5" customWidth="1"/>
    <col min="14" max="14" width="14.28515625" customWidth="1"/>
    <col min="15" max="15" width="5.42578125" customWidth="1"/>
  </cols>
  <sheetData>
    <row r="1" spans="1:1" ht="15.75" x14ac:dyDescent="0.25">
      <c r="A1" s="34" t="s">
        <v>39</v>
      </c>
    </row>
    <row r="28" spans="1:18" ht="56.2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122"/>
      <c r="I28" s="33"/>
    </row>
    <row r="29" spans="1:18" x14ac:dyDescent="0.25">
      <c r="A29" s="32"/>
    </row>
    <row r="31" spans="1:18" x14ac:dyDescent="0.25">
      <c r="A31" s="30" t="s">
        <v>36</v>
      </c>
      <c r="B31" s="31"/>
      <c r="C31" s="31"/>
      <c r="D31" s="31"/>
      <c r="E31" s="31"/>
      <c r="F31" s="31"/>
      <c r="G31" s="31"/>
      <c r="H31" s="31"/>
      <c r="I31" s="46"/>
      <c r="J31" s="31"/>
      <c r="K31" s="31"/>
      <c r="L31" s="31"/>
    </row>
    <row r="32" spans="1:18" ht="38.25" x14ac:dyDescent="0.25">
      <c r="A32" s="30"/>
      <c r="B32" s="123" t="s">
        <v>35</v>
      </c>
      <c r="C32" s="123"/>
      <c r="D32" s="123"/>
      <c r="F32" s="29" t="s">
        <v>34</v>
      </c>
      <c r="G32" s="45" t="s">
        <v>33</v>
      </c>
      <c r="H32" s="45" t="s">
        <v>33</v>
      </c>
      <c r="I32" s="15"/>
      <c r="N32" s="116" t="s">
        <v>174</v>
      </c>
      <c r="P32" s="56" t="s">
        <v>29</v>
      </c>
      <c r="Q32" s="39"/>
      <c r="R32" s="39"/>
    </row>
    <row r="33" spans="1:18" ht="60.75" customHeight="1" x14ac:dyDescent="0.25">
      <c r="A33" s="28"/>
      <c r="B33" s="27" t="s">
        <v>28</v>
      </c>
      <c r="C33" s="27" t="s">
        <v>27</v>
      </c>
      <c r="D33" s="27" t="s">
        <v>26</v>
      </c>
      <c r="F33" s="27" t="s">
        <v>25</v>
      </c>
      <c r="G33" s="27" t="s">
        <v>24</v>
      </c>
      <c r="H33" s="27" t="s">
        <v>23</v>
      </c>
      <c r="I33" s="26"/>
      <c r="J33" s="43" t="s">
        <v>22</v>
      </c>
      <c r="K33" s="43" t="s">
        <v>21</v>
      </c>
      <c r="L33" s="43" t="s">
        <v>20</v>
      </c>
      <c r="M33" s="25"/>
      <c r="N33" s="118" t="s">
        <v>175</v>
      </c>
      <c r="P33" s="59" t="s">
        <v>12</v>
      </c>
      <c r="Q33" s="59" t="s">
        <v>11</v>
      </c>
      <c r="R33" s="41" t="s">
        <v>10</v>
      </c>
    </row>
    <row r="34" spans="1:18" x14ac:dyDescent="0.25">
      <c r="A34" s="13">
        <v>1960</v>
      </c>
      <c r="B34" s="16">
        <v>0.10312642343998446</v>
      </c>
      <c r="C34" s="16">
        <v>9.8402002656028387E-2</v>
      </c>
      <c r="D34" s="16">
        <v>8.112473906913123E-2</v>
      </c>
      <c r="F34" s="16">
        <v>9.0105832408147998E-2</v>
      </c>
      <c r="G34" s="16">
        <v>0.12549298812090207</v>
      </c>
      <c r="H34" s="16">
        <v>9.0810565716982317E-2</v>
      </c>
      <c r="I34" s="16"/>
      <c r="M34" s="22"/>
      <c r="N34" s="40"/>
      <c r="P34" s="57">
        <v>8.3565900921357628</v>
      </c>
      <c r="Q34" s="57">
        <v>10.034579956956321</v>
      </c>
      <c r="R34" s="57">
        <f t="shared" ref="R34:R93" si="0">P34/Q34</f>
        <v>0.83277926210978892</v>
      </c>
    </row>
    <row r="35" spans="1:18" x14ac:dyDescent="0.25">
      <c r="A35" s="13">
        <f t="shared" ref="A35:A66" si="1">A34+1</f>
        <v>1961</v>
      </c>
      <c r="B35" s="16">
        <v>0.10749726112148456</v>
      </c>
      <c r="C35" s="16">
        <v>0.10262462168233416</v>
      </c>
      <c r="D35" s="16">
        <v>8.3923520278001706E-2</v>
      </c>
      <c r="F35" s="16">
        <v>9.2444206572269622E-2</v>
      </c>
      <c r="G35" s="16">
        <v>0.12460041178975494</v>
      </c>
      <c r="H35" s="16">
        <v>8.8674585783886484E-2</v>
      </c>
      <c r="I35" s="16"/>
      <c r="M35" s="22"/>
      <c r="N35" s="40"/>
      <c r="P35" s="57">
        <v>8.3376005383909941</v>
      </c>
      <c r="Q35" s="57">
        <v>10.640656153200087</v>
      </c>
      <c r="R35" s="57">
        <f t="shared" si="0"/>
        <v>0.78356075211428866</v>
      </c>
    </row>
    <row r="36" spans="1:18" x14ac:dyDescent="0.25">
      <c r="A36" s="13">
        <f t="shared" si="1"/>
        <v>1962</v>
      </c>
      <c r="B36" s="16">
        <v>0.11141746382081576</v>
      </c>
      <c r="C36" s="16">
        <v>0.10640107324611718</v>
      </c>
      <c r="D36" s="16">
        <v>8.6433747143398867E-2</v>
      </c>
      <c r="F36" s="16">
        <v>8.9177964232870735E-2</v>
      </c>
      <c r="G36" s="16">
        <v>0.12851753830909729</v>
      </c>
      <c r="H36" s="16">
        <v>9.4892218708992004E-2</v>
      </c>
      <c r="I36" s="16"/>
      <c r="M36" s="22"/>
      <c r="N36" s="40"/>
      <c r="P36" s="57">
        <v>8.2736755670745552</v>
      </c>
      <c r="Q36" s="57">
        <v>9.9499062481040372</v>
      </c>
      <c r="R36" s="57">
        <f t="shared" si="0"/>
        <v>0.83153301757502596</v>
      </c>
    </row>
    <row r="37" spans="1:18" x14ac:dyDescent="0.25">
      <c r="A37" s="13">
        <f t="shared" si="1"/>
        <v>1963</v>
      </c>
      <c r="B37" s="16">
        <v>0.11350463527979342</v>
      </c>
      <c r="C37" s="16">
        <v>0.10847068017369083</v>
      </c>
      <c r="D37" s="16">
        <v>8.7974567288096148E-2</v>
      </c>
      <c r="F37" s="16">
        <v>8.8607620182328192E-2</v>
      </c>
      <c r="G37" s="16">
        <v>0.12987769395112991</v>
      </c>
      <c r="H37" s="16">
        <v>9.6660200506448746E-2</v>
      </c>
      <c r="I37" s="16"/>
      <c r="M37" s="22"/>
      <c r="N37" s="40"/>
      <c r="P37" s="57">
        <v>8.1639366576136148</v>
      </c>
      <c r="Q37" s="57">
        <v>9.9165102959435298</v>
      </c>
      <c r="R37" s="57">
        <f t="shared" si="0"/>
        <v>0.82326709840186152</v>
      </c>
    </row>
    <row r="38" spans="1:18" x14ac:dyDescent="0.25">
      <c r="A38" s="13">
        <f t="shared" si="1"/>
        <v>1964</v>
      </c>
      <c r="B38" s="16">
        <v>0.1153404952149556</v>
      </c>
      <c r="C38" s="16">
        <v>0.11029529483649957</v>
      </c>
      <c r="D38" s="16">
        <v>8.9329864698868444E-2</v>
      </c>
      <c r="F38" s="16">
        <v>9.1037087301424735E-2</v>
      </c>
      <c r="G38" s="16">
        <v>0.13123784959316254</v>
      </c>
      <c r="H38" s="16">
        <v>9.8428182303905487E-2</v>
      </c>
      <c r="I38" s="16"/>
      <c r="M38" s="22"/>
      <c r="N38" s="40"/>
      <c r="P38" s="57">
        <v>8.0207510462667724</v>
      </c>
      <c r="Q38" s="57">
        <v>10.479103530661327</v>
      </c>
      <c r="R38" s="57">
        <f t="shared" si="0"/>
        <v>0.76540431371810203</v>
      </c>
    </row>
    <row r="39" spans="1:18" x14ac:dyDescent="0.25">
      <c r="A39" s="13">
        <f t="shared" si="1"/>
        <v>1965</v>
      </c>
      <c r="B39" s="16">
        <v>0.11502269803920959</v>
      </c>
      <c r="C39" s="16">
        <v>0.11020257034877254</v>
      </c>
      <c r="D39" s="16">
        <v>9.0135755793146352E-2</v>
      </c>
      <c r="F39" s="16">
        <v>9.3038000414193717E-2</v>
      </c>
      <c r="G39" s="16">
        <v>0.13039902597665787</v>
      </c>
      <c r="H39" s="16">
        <v>9.7293853759765625E-2</v>
      </c>
      <c r="I39" s="16"/>
      <c r="M39" s="22"/>
      <c r="N39" s="40"/>
      <c r="P39" s="57">
        <v>8.065064694401487</v>
      </c>
      <c r="Q39" s="57">
        <v>10.891912753229198</v>
      </c>
      <c r="R39" s="57">
        <f t="shared" si="0"/>
        <v>0.74046357853999367</v>
      </c>
    </row>
    <row r="40" spans="1:18" x14ac:dyDescent="0.25">
      <c r="A40" s="13">
        <f t="shared" si="1"/>
        <v>1966</v>
      </c>
      <c r="B40" s="16">
        <v>0.11475404890168528</v>
      </c>
      <c r="C40" s="16">
        <v>0.11012419999294031</v>
      </c>
      <c r="D40" s="16">
        <v>9.0817013249089307E-2</v>
      </c>
      <c r="F40" s="16">
        <v>9.4211121977307091E-2</v>
      </c>
      <c r="G40" s="16">
        <v>0.1295602023601532</v>
      </c>
      <c r="H40" s="16">
        <v>9.6159525215625763E-2</v>
      </c>
      <c r="I40" s="16"/>
      <c r="M40" s="22"/>
      <c r="N40" s="40"/>
      <c r="P40" s="57">
        <v>8.3681843007293182</v>
      </c>
      <c r="Q40" s="57">
        <v>10.175256812339699</v>
      </c>
      <c r="R40" s="57">
        <f t="shared" si="0"/>
        <v>0.82240521837061509</v>
      </c>
    </row>
    <row r="41" spans="1:18" x14ac:dyDescent="0.25">
      <c r="A41" s="13">
        <f t="shared" si="1"/>
        <v>1967</v>
      </c>
      <c r="B41" s="16">
        <v>0.11271008021809324</v>
      </c>
      <c r="C41" s="16">
        <v>0.10735358357363817</v>
      </c>
      <c r="D41" s="16">
        <v>8.4951888504291473E-2</v>
      </c>
      <c r="F41" s="16">
        <v>9.83155222315856E-2</v>
      </c>
      <c r="G41" s="16">
        <v>0.1259024403989315</v>
      </c>
      <c r="H41" s="16">
        <v>9.1670768335461617E-2</v>
      </c>
      <c r="I41" s="16"/>
      <c r="J41" s="16">
        <v>9.9000000000000005E-2</v>
      </c>
      <c r="K41" s="16"/>
      <c r="M41" s="23"/>
      <c r="N41" s="40"/>
      <c r="P41" s="57">
        <v>8.4253319526665713</v>
      </c>
      <c r="Q41" s="57">
        <v>10.737541914934186</v>
      </c>
      <c r="R41" s="57">
        <f t="shared" si="0"/>
        <v>0.78466114678894028</v>
      </c>
    </row>
    <row r="42" spans="1:18" x14ac:dyDescent="0.25">
      <c r="A42" s="13">
        <f t="shared" si="1"/>
        <v>1968</v>
      </c>
      <c r="B42" s="16">
        <v>0.11122507421643339</v>
      </c>
      <c r="C42" s="16">
        <v>0.10556495827607544</v>
      </c>
      <c r="D42" s="16">
        <v>8.2120399902010796E-2</v>
      </c>
      <c r="F42" s="16">
        <v>0.10071040556088344</v>
      </c>
      <c r="G42" s="16">
        <v>0.12367113400250673</v>
      </c>
      <c r="H42" s="16">
        <v>8.8638095650821924E-2</v>
      </c>
      <c r="I42" s="16"/>
      <c r="J42" s="16">
        <v>9.6999999999999989E-2</v>
      </c>
      <c r="K42" s="16"/>
      <c r="M42" s="23"/>
      <c r="N42" s="40"/>
      <c r="P42" s="57">
        <v>8.3519414859066643</v>
      </c>
      <c r="Q42" s="57">
        <v>11.212838574441928</v>
      </c>
      <c r="R42" s="57">
        <f t="shared" si="0"/>
        <v>0.74485523272793097</v>
      </c>
    </row>
    <row r="43" spans="1:18" x14ac:dyDescent="0.25">
      <c r="A43" s="13">
        <f t="shared" si="1"/>
        <v>1969</v>
      </c>
      <c r="B43" s="16">
        <v>0.10086905698208237</v>
      </c>
      <c r="C43" s="16">
        <v>9.5709500504590081E-2</v>
      </c>
      <c r="D43" s="16">
        <v>7.5819384000167411E-2</v>
      </c>
      <c r="F43" s="16">
        <v>9.4004230313392861E-2</v>
      </c>
      <c r="G43" s="16">
        <v>0.11569346976466477</v>
      </c>
      <c r="H43" s="16">
        <v>8.2606181153096259E-2</v>
      </c>
      <c r="I43" s="16"/>
      <c r="J43" s="16">
        <v>9.8000000000000004E-2</v>
      </c>
      <c r="K43" s="16"/>
      <c r="M43" s="23"/>
      <c r="N43" s="40"/>
      <c r="P43" s="57">
        <v>8.0174220214230285</v>
      </c>
      <c r="Q43" s="57">
        <v>10.351497284479398</v>
      </c>
      <c r="R43" s="57">
        <f t="shared" si="0"/>
        <v>0.77451810120686748</v>
      </c>
    </row>
    <row r="44" spans="1:18" x14ac:dyDescent="0.25">
      <c r="A44" s="13">
        <f t="shared" si="1"/>
        <v>1970</v>
      </c>
      <c r="B44" s="16">
        <v>9.2774149218298962E-2</v>
      </c>
      <c r="C44" s="16">
        <v>8.7261982630783205E-2</v>
      </c>
      <c r="D44" s="16">
        <v>6.7926967445109898E-2</v>
      </c>
      <c r="F44" s="16">
        <v>8.4378963453325906E-2</v>
      </c>
      <c r="G44" s="16">
        <v>0.11005600291537121</v>
      </c>
      <c r="H44" s="16">
        <v>7.9537168057868257E-2</v>
      </c>
      <c r="I44" s="16"/>
      <c r="J44" s="16">
        <v>9.6999999999999989E-2</v>
      </c>
      <c r="K44" s="16"/>
      <c r="M44" s="23"/>
      <c r="N44" s="40"/>
      <c r="P44" s="57">
        <v>7.8038458864426294</v>
      </c>
      <c r="Q44" s="57">
        <v>9.0252864935986619</v>
      </c>
      <c r="R44" s="57">
        <f t="shared" si="0"/>
        <v>0.86466461668309813</v>
      </c>
    </row>
    <row r="45" spans="1:18" x14ac:dyDescent="0.25">
      <c r="A45" s="13">
        <f t="shared" si="1"/>
        <v>1971</v>
      </c>
      <c r="B45" s="16">
        <v>9.5586815829986252E-2</v>
      </c>
      <c r="C45" s="16">
        <v>8.9228122670852894E-2</v>
      </c>
      <c r="D45" s="16">
        <v>7.0228140947637741E-2</v>
      </c>
      <c r="F45" s="16">
        <v>8.6532162950564581E-2</v>
      </c>
      <c r="G45" s="16">
        <v>0.11053068873297889</v>
      </c>
      <c r="H45" s="16">
        <v>8.0577364169585053E-2</v>
      </c>
      <c r="I45" s="16"/>
      <c r="J45" s="16">
        <v>9.9000000000000005E-2</v>
      </c>
      <c r="K45" s="16"/>
      <c r="M45" s="23"/>
      <c r="N45" s="40"/>
      <c r="P45" s="57">
        <v>7.7860816660916825</v>
      </c>
      <c r="Q45" s="57">
        <v>9.399056116893755</v>
      </c>
      <c r="R45" s="57">
        <f t="shared" si="0"/>
        <v>0.82838974140148702</v>
      </c>
    </row>
    <row r="46" spans="1:18" x14ac:dyDescent="0.25">
      <c r="A46" s="13">
        <f t="shared" si="1"/>
        <v>1972</v>
      </c>
      <c r="B46" s="16">
        <v>9.6902700837127417E-2</v>
      </c>
      <c r="C46" s="16">
        <v>9.0495289936202733E-2</v>
      </c>
      <c r="D46" s="16">
        <v>7.1554508239583023E-2</v>
      </c>
      <c r="F46" s="16">
        <v>8.7008334911934548E-2</v>
      </c>
      <c r="G46" s="16">
        <v>0.11022839120778372</v>
      </c>
      <c r="H46" s="16">
        <v>8.1333372270819382E-2</v>
      </c>
      <c r="I46" s="16"/>
      <c r="J46" s="16">
        <v>0.1</v>
      </c>
      <c r="K46" s="16"/>
      <c r="M46" s="23"/>
      <c r="N46" s="40"/>
      <c r="P46" s="57">
        <v>7.7541268798518805</v>
      </c>
      <c r="Q46" s="57">
        <v>9.6377083451862653</v>
      </c>
      <c r="R46" s="57">
        <f t="shared" si="0"/>
        <v>0.80456127142764444</v>
      </c>
    </row>
    <row r="47" spans="1:18" x14ac:dyDescent="0.25">
      <c r="A47" s="13">
        <f t="shared" si="1"/>
        <v>1973</v>
      </c>
      <c r="B47" s="16">
        <v>9.5274756702436306E-2</v>
      </c>
      <c r="C47" s="16">
        <v>8.8853700265182398E-2</v>
      </c>
      <c r="D47" s="16">
        <v>7.4026436485476244E-2</v>
      </c>
      <c r="F47" s="16">
        <v>8.3408372023335953E-2</v>
      </c>
      <c r="G47" s="16">
        <v>0.10795717915334535</v>
      </c>
      <c r="H47" s="16">
        <v>8.0988238447844196E-2</v>
      </c>
      <c r="I47" s="16"/>
      <c r="J47" s="16">
        <v>9.5000000000000001E-2</v>
      </c>
      <c r="K47" s="16"/>
      <c r="M47" s="23"/>
      <c r="N47" s="40"/>
      <c r="P47" s="57">
        <v>7.7419961675539462</v>
      </c>
      <c r="Q47" s="57">
        <v>9.1624623453135765</v>
      </c>
      <c r="R47" s="57">
        <f t="shared" si="0"/>
        <v>0.84496894784116938</v>
      </c>
    </row>
    <row r="48" spans="1:18" x14ac:dyDescent="0.25">
      <c r="A48" s="13">
        <f t="shared" si="1"/>
        <v>1974</v>
      </c>
      <c r="B48" s="16">
        <v>9.1502578968887083E-2</v>
      </c>
      <c r="C48" s="16">
        <v>8.4701355193251046E-2</v>
      </c>
      <c r="D48" s="16">
        <v>7.0060190815263157E-2</v>
      </c>
      <c r="F48" s="16">
        <v>8.5290385295910306E-2</v>
      </c>
      <c r="G48" s="16">
        <v>0.10497182478616196</v>
      </c>
      <c r="H48" s="16">
        <v>7.8926590009018582E-2</v>
      </c>
      <c r="I48" s="16"/>
      <c r="J48" s="16">
        <v>9.6999999999999989E-2</v>
      </c>
      <c r="K48" s="16"/>
      <c r="M48" s="23"/>
      <c r="N48" s="40"/>
      <c r="P48" s="57">
        <v>8.123618917085782</v>
      </c>
      <c r="Q48" s="57">
        <v>9.1224292172255339</v>
      </c>
      <c r="R48" s="57">
        <f t="shared" si="0"/>
        <v>0.89051049053318643</v>
      </c>
    </row>
    <row r="49" spans="1:18" x14ac:dyDescent="0.25">
      <c r="A49" s="13">
        <f t="shared" si="1"/>
        <v>1975</v>
      </c>
      <c r="B49" s="16">
        <v>9.2705446977149109E-2</v>
      </c>
      <c r="C49" s="16">
        <v>8.4554428162246245E-2</v>
      </c>
      <c r="D49" s="16">
        <v>6.9491031733805622E-2</v>
      </c>
      <c r="F49" s="16">
        <v>8.3664366142884583E-2</v>
      </c>
      <c r="G49" s="16">
        <v>0.10433476758527149</v>
      </c>
      <c r="H49" s="16">
        <v>7.9409887250136535E-2</v>
      </c>
      <c r="I49" s="16"/>
      <c r="J49" s="16">
        <v>9.9000000000000005E-2</v>
      </c>
      <c r="K49" s="16"/>
      <c r="M49" s="23"/>
      <c r="N49" s="40"/>
      <c r="P49" s="57">
        <v>8.0058801501615697</v>
      </c>
      <c r="Q49" s="57">
        <v>8.872672603452564</v>
      </c>
      <c r="R49" s="57">
        <f t="shared" si="0"/>
        <v>0.90230762566921441</v>
      </c>
    </row>
    <row r="50" spans="1:18" x14ac:dyDescent="0.25">
      <c r="A50" s="13">
        <f t="shared" si="1"/>
        <v>1976</v>
      </c>
      <c r="B50" s="16">
        <v>9.3643030909225503E-2</v>
      </c>
      <c r="C50" s="16">
        <v>8.5622430549537581E-2</v>
      </c>
      <c r="D50" s="16">
        <v>7.0610459301339357E-2</v>
      </c>
      <c r="F50" s="16">
        <v>8.3258655587151509E-2</v>
      </c>
      <c r="G50" s="16">
        <v>0.10429263013732282</v>
      </c>
      <c r="H50" s="16">
        <v>7.916399957137088E-2</v>
      </c>
      <c r="I50" s="16"/>
      <c r="J50" s="16">
        <v>0.10099999999999999</v>
      </c>
      <c r="K50" s="16"/>
      <c r="M50" s="23"/>
      <c r="N50" s="40"/>
      <c r="P50" s="57">
        <v>7.8891961987813497</v>
      </c>
      <c r="Q50" s="57">
        <v>8.860885138806907</v>
      </c>
      <c r="R50" s="57">
        <f t="shared" si="0"/>
        <v>0.89033951746310613</v>
      </c>
    </row>
    <row r="51" spans="1:18" x14ac:dyDescent="0.25">
      <c r="A51" s="13">
        <f t="shared" si="1"/>
        <v>1977</v>
      </c>
      <c r="B51" s="16">
        <v>9.3288610010785034E-2</v>
      </c>
      <c r="C51" s="16">
        <v>8.5782218945034586E-2</v>
      </c>
      <c r="D51" s="16">
        <v>7.2389511489337879E-2</v>
      </c>
      <c r="F51" s="16">
        <v>8.3637714427930984E-2</v>
      </c>
      <c r="G51" s="16">
        <v>0.10493852545353732</v>
      </c>
      <c r="H51" s="16">
        <v>8.0491025302302788E-2</v>
      </c>
      <c r="I51" s="16"/>
      <c r="J51" s="16">
        <v>0.10300000000000001</v>
      </c>
      <c r="K51" s="16"/>
      <c r="M51" s="23"/>
      <c r="N51" s="40"/>
      <c r="P51" s="57">
        <v>7.8992263574060786</v>
      </c>
      <c r="Q51" s="57">
        <v>9.0251178846532945</v>
      </c>
      <c r="R51" s="57">
        <f t="shared" si="0"/>
        <v>0.87524910570290382</v>
      </c>
    </row>
    <row r="52" spans="1:18" x14ac:dyDescent="0.25">
      <c r="A52" s="13">
        <f t="shared" si="1"/>
        <v>1978</v>
      </c>
      <c r="B52" s="16">
        <v>9.282576570921168E-2</v>
      </c>
      <c r="C52" s="16">
        <v>8.55858389676524E-2</v>
      </c>
      <c r="D52" s="16">
        <v>7.3580881118841049E-2</v>
      </c>
      <c r="F52" s="16">
        <v>8.3597660274637844E-2</v>
      </c>
      <c r="G52" s="16">
        <v>0.10517325152837476</v>
      </c>
      <c r="H52" s="16">
        <v>8.2040532567474234E-2</v>
      </c>
      <c r="I52" s="16"/>
      <c r="J52" s="16">
        <v>0.10199999999999999</v>
      </c>
      <c r="K52" s="16"/>
      <c r="M52" s="23"/>
      <c r="N52" s="40"/>
      <c r="P52" s="57">
        <v>7.9526089866496275</v>
      </c>
      <c r="Q52" s="57">
        <v>8.9505213117986688</v>
      </c>
      <c r="R52" s="57">
        <f t="shared" si="0"/>
        <v>0.88850791027852383</v>
      </c>
    </row>
    <row r="53" spans="1:18" x14ac:dyDescent="0.25">
      <c r="A53" s="13">
        <f t="shared" si="1"/>
        <v>1979</v>
      </c>
      <c r="B53" s="16">
        <v>9.4070924937761549E-2</v>
      </c>
      <c r="C53" s="16">
        <v>8.6889461218314076E-2</v>
      </c>
      <c r="D53" s="16">
        <v>7.3669326322619175E-2</v>
      </c>
      <c r="F53" s="16">
        <v>8.9960423031537951E-2</v>
      </c>
      <c r="G53" s="16">
        <v>0.10854057222604752</v>
      </c>
      <c r="H53" s="16">
        <v>8.5476882755756378E-2</v>
      </c>
      <c r="I53" s="16"/>
      <c r="J53" s="16">
        <v>0.10300000000000001</v>
      </c>
      <c r="K53" s="16"/>
      <c r="L53" s="16">
        <f>N53/100*R53</f>
        <v>7.2598792225417805E-2</v>
      </c>
      <c r="M53" s="23"/>
      <c r="N53" s="119">
        <v>9</v>
      </c>
      <c r="P53" s="57">
        <v>8.0324098037332945</v>
      </c>
      <c r="Q53" s="57">
        <v>9.9576984709518843</v>
      </c>
      <c r="R53" s="57">
        <f t="shared" si="0"/>
        <v>0.8066532469490868</v>
      </c>
    </row>
    <row r="54" spans="1:18" x14ac:dyDescent="0.25">
      <c r="A54" s="13">
        <f t="shared" si="1"/>
        <v>1980</v>
      </c>
      <c r="B54" s="16">
        <v>9.2002961738561317E-2</v>
      </c>
      <c r="C54" s="16">
        <v>8.4210758788976325E-2</v>
      </c>
      <c r="D54" s="16">
        <v>6.9783930450813964E-2</v>
      </c>
      <c r="F54" s="16">
        <v>9.1534435937670189E-2</v>
      </c>
      <c r="G54" s="16">
        <v>0.10433274507522583</v>
      </c>
      <c r="H54" s="16">
        <v>8.0954253673553467E-2</v>
      </c>
      <c r="I54" s="16"/>
      <c r="J54" s="16">
        <v>0.1</v>
      </c>
      <c r="K54" s="16"/>
      <c r="L54" s="16">
        <f>N54/100*R54</f>
        <v>7.3436039053799945E-2</v>
      </c>
      <c r="M54" s="23"/>
      <c r="N54" s="119">
        <v>9</v>
      </c>
      <c r="P54" s="57">
        <v>8.1767146253680529</v>
      </c>
      <c r="Q54" s="57">
        <v>10.021024087968501</v>
      </c>
      <c r="R54" s="57">
        <f t="shared" si="0"/>
        <v>0.81595598948666603</v>
      </c>
    </row>
    <row r="55" spans="1:18" x14ac:dyDescent="0.25">
      <c r="A55" s="13">
        <f t="shared" si="1"/>
        <v>1981</v>
      </c>
      <c r="B55" s="16">
        <v>8.8426428447948471E-2</v>
      </c>
      <c r="C55" s="16">
        <v>8.0974073906303026E-2</v>
      </c>
      <c r="D55" s="16">
        <v>6.9204624185961877E-2</v>
      </c>
      <c r="F55" s="16">
        <v>8.9310266913414246E-2</v>
      </c>
      <c r="G55" s="16">
        <v>0.10662860423326492</v>
      </c>
      <c r="H55" s="16">
        <v>8.7399467825889587E-2</v>
      </c>
      <c r="I55" s="16"/>
      <c r="J55" s="16">
        <v>0.10300000000000001</v>
      </c>
      <c r="K55" s="16"/>
      <c r="L55" s="16">
        <f>N55/100*R55</f>
        <v>7.2111910779712921E-2</v>
      </c>
      <c r="M55" s="23"/>
      <c r="N55" s="119">
        <v>9</v>
      </c>
      <c r="P55" s="57">
        <v>8.026075546927979</v>
      </c>
      <c r="Q55" s="57">
        <v>10.017024807873129</v>
      </c>
      <c r="R55" s="57">
        <f t="shared" si="0"/>
        <v>0.80124345310792133</v>
      </c>
    </row>
    <row r="56" spans="1:18" x14ac:dyDescent="0.25">
      <c r="A56" s="13">
        <f t="shared" si="1"/>
        <v>1982</v>
      </c>
      <c r="B56" s="16">
        <v>9.0614387946887795E-2</v>
      </c>
      <c r="C56" s="16">
        <v>8.2507979051613861E-2</v>
      </c>
      <c r="D56" s="16">
        <v>6.8658971291965035E-2</v>
      </c>
      <c r="F56" s="16">
        <v>9.7572076572603694E-2</v>
      </c>
      <c r="G56" s="16">
        <v>0.10991345345973969</v>
      </c>
      <c r="H56" s="16">
        <v>9.0822026133537292E-2</v>
      </c>
      <c r="I56" s="16"/>
      <c r="J56" s="16">
        <v>0.105</v>
      </c>
      <c r="K56" s="16"/>
      <c r="L56" s="16">
        <f>N56/100*R56</f>
        <v>7.382911316807865E-2</v>
      </c>
      <c r="M56" s="23"/>
      <c r="N56" s="119">
        <v>9.5</v>
      </c>
      <c r="P56" s="57">
        <v>8.3899380716959886</v>
      </c>
      <c r="Q56" s="57">
        <v>10.795796977766425</v>
      </c>
      <c r="R56" s="57">
        <f t="shared" si="0"/>
        <v>0.77714855966398577</v>
      </c>
    </row>
    <row r="57" spans="1:18" x14ac:dyDescent="0.25">
      <c r="A57" s="13">
        <f t="shared" si="1"/>
        <v>1983</v>
      </c>
      <c r="B57" s="16">
        <v>9.4112644594859865E-2</v>
      </c>
      <c r="C57" s="16">
        <v>8.58187943491069E-2</v>
      </c>
      <c r="D57" s="16">
        <v>7.1368813669287934E-2</v>
      </c>
      <c r="F57" s="16">
        <v>0.10282245251280001</v>
      </c>
      <c r="G57" s="16">
        <v>0.11480977386236191</v>
      </c>
      <c r="H57" s="16">
        <v>9.5917254686355591E-2</v>
      </c>
      <c r="I57" s="16"/>
      <c r="J57" s="16">
        <v>0.10800000000000001</v>
      </c>
      <c r="K57" s="16"/>
      <c r="L57" s="16">
        <f>N57/100*R57</f>
        <v>7.58510401194777E-2</v>
      </c>
      <c r="M57" s="23"/>
      <c r="N57" s="119">
        <v>10.199999999999999</v>
      </c>
      <c r="P57" s="57">
        <v>8.5929026489475131</v>
      </c>
      <c r="Q57" s="57">
        <v>11.555228099865923</v>
      </c>
      <c r="R57" s="57">
        <f t="shared" si="0"/>
        <v>0.74363764823017364</v>
      </c>
    </row>
    <row r="58" spans="1:18" x14ac:dyDescent="0.25">
      <c r="A58" s="13">
        <f t="shared" si="1"/>
        <v>1984</v>
      </c>
      <c r="B58" s="16">
        <v>9.5901991841306072E-2</v>
      </c>
      <c r="C58" s="16">
        <v>8.7958768949656638E-2</v>
      </c>
      <c r="D58" s="16">
        <v>7.5165170020170674E-2</v>
      </c>
      <c r="F58" s="16">
        <v>0.10629430295039832</v>
      </c>
      <c r="G58" s="16">
        <v>0.12154140323400497</v>
      </c>
      <c r="H58" s="16">
        <v>0.10392636805772781</v>
      </c>
      <c r="I58" s="16"/>
      <c r="J58" s="16">
        <v>0.11</v>
      </c>
      <c r="K58" s="16"/>
      <c r="L58" s="16">
        <f>N58/100*R58</f>
        <v>7.930721083414477E-2</v>
      </c>
      <c r="M58" s="23"/>
      <c r="N58" s="119">
        <v>10.7</v>
      </c>
      <c r="P58" s="57">
        <v>8.8863707222620985</v>
      </c>
      <c r="Q58" s="57">
        <v>11.989346962037795</v>
      </c>
      <c r="R58" s="57">
        <f t="shared" si="0"/>
        <v>0.74118888630041846</v>
      </c>
    </row>
    <row r="59" spans="1:18" x14ac:dyDescent="0.25">
      <c r="A59" s="13">
        <f t="shared" si="1"/>
        <v>1985</v>
      </c>
      <c r="B59" s="16">
        <v>9.7255231594784455E-2</v>
      </c>
      <c r="C59" s="16">
        <v>8.9444649530832462E-2</v>
      </c>
      <c r="D59" s="16">
        <v>7.5611776599280658E-2</v>
      </c>
      <c r="F59" s="16">
        <v>0.11093374495182488</v>
      </c>
      <c r="G59" s="16">
        <v>0.12345606833696365</v>
      </c>
      <c r="H59" s="16">
        <v>0.10546121001243591</v>
      </c>
      <c r="I59" s="16"/>
      <c r="J59" s="16">
        <v>0.10400000000000001</v>
      </c>
      <c r="K59" s="16"/>
      <c r="L59" s="16">
        <f>N59/100*R59</f>
        <v>8.1118352301314381E-2</v>
      </c>
      <c r="M59" s="23"/>
      <c r="N59" s="119">
        <v>11.3</v>
      </c>
      <c r="P59" s="57">
        <v>9.0945605795137041</v>
      </c>
      <c r="Q59" s="57">
        <v>12.668962279555531</v>
      </c>
      <c r="R59" s="57">
        <f t="shared" si="0"/>
        <v>0.71786152479039278</v>
      </c>
    </row>
    <row r="60" spans="1:18" x14ac:dyDescent="0.25">
      <c r="A60" s="13">
        <f t="shared" si="1"/>
        <v>1986</v>
      </c>
      <c r="B60" s="16">
        <v>9.7148627151826886E-2</v>
      </c>
      <c r="C60" s="16">
        <v>8.808164806909935E-2</v>
      </c>
      <c r="D60" s="16">
        <v>7.2506405955297809E-2</v>
      </c>
      <c r="F60" s="16">
        <v>0.1314262208412354</v>
      </c>
      <c r="G60" s="16">
        <v>0.11970000714063644</v>
      </c>
      <c r="H60" s="16">
        <v>9.9727064371109009E-2</v>
      </c>
      <c r="I60" s="16"/>
      <c r="J60" s="16">
        <v>0.11199999999999999</v>
      </c>
      <c r="K60" s="16"/>
      <c r="L60" s="16">
        <f>N60/100*R60</f>
        <v>7.9150511429204609E-2</v>
      </c>
      <c r="M60" s="23"/>
      <c r="N60" s="119">
        <v>13.8</v>
      </c>
      <c r="P60" s="57">
        <v>9.1292990690663967</v>
      </c>
      <c r="Q60" s="57">
        <v>15.917057878495417</v>
      </c>
      <c r="R60" s="57">
        <f t="shared" si="0"/>
        <v>0.57355443064641021</v>
      </c>
    </row>
    <row r="61" spans="1:18" x14ac:dyDescent="0.25">
      <c r="A61" s="13">
        <f t="shared" si="1"/>
        <v>1987</v>
      </c>
      <c r="B61" s="16">
        <v>9.6692932756861874E-2</v>
      </c>
      <c r="C61" s="16">
        <v>8.844367388087504E-2</v>
      </c>
      <c r="D61" s="16">
        <v>7.2744034204307306E-2</v>
      </c>
      <c r="F61" s="16">
        <v>0.11750102422462874</v>
      </c>
      <c r="G61" s="16">
        <v>0.13233911991119385</v>
      </c>
      <c r="H61" s="16">
        <v>0.11107344180345535</v>
      </c>
      <c r="I61" s="16"/>
      <c r="J61" s="16">
        <v>0.114</v>
      </c>
      <c r="K61" s="16"/>
      <c r="L61" s="16">
        <f>N61/100*R61</f>
        <v>9.4204754650387065E-2</v>
      </c>
      <c r="M61" s="23"/>
      <c r="N61" s="119">
        <v>11.1</v>
      </c>
      <c r="P61" s="57">
        <v>10.746260633305884</v>
      </c>
      <c r="Q61" s="57">
        <v>12.662152082703312</v>
      </c>
      <c r="R61" s="57">
        <f t="shared" si="0"/>
        <v>0.84869148333682043</v>
      </c>
    </row>
    <row r="62" spans="1:18" x14ac:dyDescent="0.25">
      <c r="A62" s="13">
        <f t="shared" si="1"/>
        <v>1988</v>
      </c>
      <c r="B62" s="16">
        <v>0.11249268915084298</v>
      </c>
      <c r="C62" s="16">
        <v>0.10285573661478949</v>
      </c>
      <c r="D62" s="16">
        <v>8.7827444012893094E-2</v>
      </c>
      <c r="F62" s="16">
        <v>0.14653249100073071</v>
      </c>
      <c r="G62" s="16">
        <v>0.15223731100559235</v>
      </c>
      <c r="H62" s="16">
        <v>0.13097395002841949</v>
      </c>
      <c r="I62" s="16"/>
      <c r="J62" s="16">
        <v>0.11699999999999999</v>
      </c>
      <c r="K62" s="16"/>
      <c r="L62" s="16">
        <f>N62/100*R62</f>
        <v>0.11216713671744616</v>
      </c>
      <c r="M62" s="23"/>
      <c r="N62" s="119">
        <v>13.2</v>
      </c>
      <c r="P62" s="57">
        <v>13.165480795439365</v>
      </c>
      <c r="Q62" s="57">
        <v>15.493338921325046</v>
      </c>
      <c r="R62" s="57">
        <f t="shared" si="0"/>
        <v>0.84975103573822841</v>
      </c>
    </row>
    <row r="63" spans="1:18" x14ac:dyDescent="0.25">
      <c r="A63" s="13">
        <f t="shared" si="1"/>
        <v>1989</v>
      </c>
      <c r="B63" s="16">
        <v>0.10803245685896695</v>
      </c>
      <c r="C63" s="16">
        <v>9.871910691393726E-2</v>
      </c>
      <c r="D63" s="16">
        <v>8.3828766193906515E-2</v>
      </c>
      <c r="F63" s="16">
        <v>0.1381328299421444</v>
      </c>
      <c r="G63" s="16">
        <v>0.1469816118478775</v>
      </c>
      <c r="H63" s="16">
        <v>0.12564219534397125</v>
      </c>
      <c r="I63" s="16"/>
      <c r="J63" s="16">
        <v>0.13</v>
      </c>
      <c r="K63" s="16"/>
      <c r="L63" s="16">
        <f>N63/100*R63</f>
        <v>0.10708037285619286</v>
      </c>
      <c r="M63" s="23"/>
      <c r="N63" s="119">
        <v>12.3</v>
      </c>
      <c r="P63" s="57">
        <v>12.611494478689435</v>
      </c>
      <c r="Q63" s="57">
        <v>14.486443962630339</v>
      </c>
      <c r="R63" s="57">
        <f t="shared" si="0"/>
        <v>0.87057213704221825</v>
      </c>
    </row>
    <row r="64" spans="1:18" x14ac:dyDescent="0.25">
      <c r="A64" s="13">
        <f t="shared" si="1"/>
        <v>1990</v>
      </c>
      <c r="B64" s="16">
        <v>0.10766860304457467</v>
      </c>
      <c r="C64" s="16">
        <v>9.7924737132287124E-2</v>
      </c>
      <c r="D64" s="16">
        <v>8.2655323302563741E-2</v>
      </c>
      <c r="F64" s="16">
        <v>0.13809777272165719</v>
      </c>
      <c r="G64" s="16">
        <v>0.14710064232349396</v>
      </c>
      <c r="H64" s="16">
        <v>0.12508696317672729</v>
      </c>
      <c r="I64" s="16"/>
      <c r="J64" s="16">
        <v>0.12300000000000001</v>
      </c>
      <c r="K64" s="16"/>
      <c r="L64" s="16">
        <f>N64/100*R64</f>
        <v>0.10871156098907438</v>
      </c>
      <c r="M64" s="23"/>
      <c r="N64" s="119">
        <v>12</v>
      </c>
      <c r="P64" s="57">
        <v>12.981647252493072</v>
      </c>
      <c r="Q64" s="57">
        <v>14.329641264701635</v>
      </c>
      <c r="R64" s="57">
        <f t="shared" si="0"/>
        <v>0.90592967490895315</v>
      </c>
    </row>
    <row r="65" spans="1:18" x14ac:dyDescent="0.25">
      <c r="A65" s="13">
        <f t="shared" si="1"/>
        <v>1991</v>
      </c>
      <c r="B65" s="16">
        <v>0.1049527343746544</v>
      </c>
      <c r="C65" s="16">
        <v>9.4614871120100238E-2</v>
      </c>
      <c r="D65" s="16">
        <v>7.8047851001603039E-2</v>
      </c>
      <c r="F65" s="16">
        <v>0.1271712014755865</v>
      </c>
      <c r="G65" s="16">
        <v>0.13648337125778198</v>
      </c>
      <c r="H65" s="16">
        <v>0.11375311762094498</v>
      </c>
      <c r="I65" s="16"/>
      <c r="J65" s="16">
        <v>0.11800000000000001</v>
      </c>
      <c r="K65" s="16"/>
      <c r="L65" s="16">
        <f>N65/100*R65</f>
        <v>0.10108602866844513</v>
      </c>
      <c r="M65" s="23"/>
      <c r="N65" s="119">
        <v>11.1</v>
      </c>
      <c r="P65" s="57">
        <v>12.167379448376485</v>
      </c>
      <c r="Q65" s="57">
        <v>13.360690261159549</v>
      </c>
      <c r="R65" s="57">
        <f t="shared" si="0"/>
        <v>0.91068494295896507</v>
      </c>
    </row>
    <row r="66" spans="1:18" x14ac:dyDescent="0.25">
      <c r="A66" s="13">
        <f t="shared" si="1"/>
        <v>1992</v>
      </c>
      <c r="B66" s="16">
        <v>0.11182670858236057</v>
      </c>
      <c r="C66" s="16">
        <v>0.10008714150138975</v>
      </c>
      <c r="D66" s="16">
        <v>8.1709820593008062E-2</v>
      </c>
      <c r="F66" s="16">
        <v>0.14224378100303567</v>
      </c>
      <c r="G66" s="16">
        <v>0.14680194854736328</v>
      </c>
      <c r="H66" s="16">
        <v>0.12106691300868988</v>
      </c>
      <c r="I66" s="16"/>
      <c r="J66" s="16">
        <v>0.12</v>
      </c>
      <c r="K66" s="16"/>
      <c r="L66" s="16">
        <f>N66/100*R66</f>
        <v>0.11117623331526248</v>
      </c>
      <c r="M66" s="23"/>
      <c r="N66" s="119">
        <v>12.1</v>
      </c>
      <c r="P66" s="57">
        <v>13.479744861469998</v>
      </c>
      <c r="Q66" s="57">
        <v>14.670843575107488</v>
      </c>
      <c r="R66" s="57">
        <f t="shared" si="0"/>
        <v>0.91881184558068174</v>
      </c>
    </row>
    <row r="67" spans="1:18" x14ac:dyDescent="0.25">
      <c r="A67" s="13">
        <f t="shared" ref="A67:A94" si="2">A66+1</f>
        <v>1993</v>
      </c>
      <c r="B67" s="16">
        <v>0.10563438276548648</v>
      </c>
      <c r="C67" s="16">
        <v>9.4330425139180926E-2</v>
      </c>
      <c r="D67" s="16">
        <v>7.3320915547812504E-2</v>
      </c>
      <c r="F67" s="16">
        <v>0.13684379989648174</v>
      </c>
      <c r="G67" s="16">
        <v>0.14140902459621429</v>
      </c>
      <c r="H67" s="16">
        <v>0.11273324489593506</v>
      </c>
      <c r="I67" s="16"/>
      <c r="J67" s="16">
        <v>0.11599999999999999</v>
      </c>
      <c r="K67" s="16"/>
      <c r="L67" s="16">
        <f>N67/100*R67</f>
        <v>0.10626669847957401</v>
      </c>
      <c r="M67" s="23"/>
      <c r="N67" s="119">
        <v>11.8</v>
      </c>
      <c r="P67" s="57">
        <v>12.821259920178939</v>
      </c>
      <c r="Q67" s="57">
        <v>14.23690292657316</v>
      </c>
      <c r="R67" s="57">
        <f t="shared" si="0"/>
        <v>0.90056524135232208</v>
      </c>
    </row>
    <row r="68" spans="1:18" x14ac:dyDescent="0.25">
      <c r="A68" s="13">
        <f t="shared" si="2"/>
        <v>1994</v>
      </c>
      <c r="B68" s="16">
        <v>0.10583792699219721</v>
      </c>
      <c r="C68" s="16">
        <v>9.4731319950496731E-2</v>
      </c>
      <c r="D68" s="16">
        <v>7.5361104843952323E-2</v>
      </c>
      <c r="F68" s="16">
        <v>0.1364511900969064</v>
      </c>
      <c r="G68" s="16">
        <v>0.14049772918224335</v>
      </c>
      <c r="H68" s="16">
        <v>0.11096116900444031</v>
      </c>
      <c r="I68" s="16"/>
      <c r="J68" s="16">
        <v>0.111</v>
      </c>
      <c r="K68" s="16"/>
      <c r="L68" s="16">
        <f>N68/100*R68</f>
        <v>0.10655970105766931</v>
      </c>
      <c r="M68" s="23"/>
      <c r="N68" s="119">
        <v>11.8</v>
      </c>
      <c r="P68" s="57">
        <v>12.852119853413258</v>
      </c>
      <c r="Q68" s="57">
        <v>14.231929403424463</v>
      </c>
      <c r="R68" s="57">
        <f t="shared" si="0"/>
        <v>0.90304831404804486</v>
      </c>
    </row>
    <row r="69" spans="1:18" x14ac:dyDescent="0.25">
      <c r="A69" s="13">
        <f t="shared" si="2"/>
        <v>1995</v>
      </c>
      <c r="B69" s="16">
        <v>0.11120233705499301</v>
      </c>
      <c r="C69" s="16">
        <v>9.965564394007484E-2</v>
      </c>
      <c r="D69" s="16">
        <v>7.8795517985559629E-2</v>
      </c>
      <c r="F69" s="16">
        <v>0.14617000000000002</v>
      </c>
      <c r="G69" s="16">
        <v>0.14519089460372925</v>
      </c>
      <c r="H69" s="16">
        <v>0.11411856859922409</v>
      </c>
      <c r="I69" s="16"/>
      <c r="J69" s="16">
        <v>0.113</v>
      </c>
      <c r="K69" s="16"/>
      <c r="L69" s="16">
        <f>N69/100*R69</f>
        <v>0.10922567940133912</v>
      </c>
      <c r="M69" s="23"/>
      <c r="N69" s="119">
        <v>12.3</v>
      </c>
      <c r="P69" s="57">
        <v>13.528</v>
      </c>
      <c r="Q69" s="57">
        <v>15.234</v>
      </c>
      <c r="R69" s="57">
        <f t="shared" si="0"/>
        <v>0.88801365366942364</v>
      </c>
    </row>
    <row r="70" spans="1:18" x14ac:dyDescent="0.25">
      <c r="A70" s="13">
        <f t="shared" si="2"/>
        <v>1996</v>
      </c>
      <c r="B70" s="16">
        <v>0.11578063250363062</v>
      </c>
      <c r="C70" s="16">
        <v>0.10395518516182309</v>
      </c>
      <c r="D70" s="16">
        <v>8.0153001181659425E-2</v>
      </c>
      <c r="F70" s="16">
        <v>0.15836</v>
      </c>
      <c r="G70" s="16">
        <v>0.1524396538734436</v>
      </c>
      <c r="H70" s="16">
        <v>0.1194666400551796</v>
      </c>
      <c r="I70" s="16"/>
      <c r="J70" s="16">
        <v>0.11800000000000001</v>
      </c>
      <c r="K70" s="16"/>
      <c r="L70" s="16">
        <f>N70/100*R70</f>
        <v>0.11497285311919457</v>
      </c>
      <c r="M70" s="23"/>
      <c r="N70" s="119">
        <v>13.6</v>
      </c>
      <c r="P70" s="57">
        <v>14.106999999999999</v>
      </c>
      <c r="Q70" s="57">
        <v>16.687000000000001</v>
      </c>
      <c r="R70" s="57">
        <f t="shared" si="0"/>
        <v>0.8453886258764306</v>
      </c>
    </row>
    <row r="71" spans="1:18" x14ac:dyDescent="0.25">
      <c r="A71" s="13">
        <f t="shared" si="2"/>
        <v>1997</v>
      </c>
      <c r="B71" s="16">
        <v>0.12152306304405473</v>
      </c>
      <c r="C71" s="16">
        <v>0.10954199744522732</v>
      </c>
      <c r="D71" s="16">
        <v>8.605461998867743E-2</v>
      </c>
      <c r="F71" s="16">
        <v>0.16985</v>
      </c>
      <c r="G71" s="16">
        <v>0.15984882414340973</v>
      </c>
      <c r="H71" s="16">
        <v>0.1253124475479126</v>
      </c>
      <c r="I71" s="16"/>
      <c r="J71" s="16">
        <v>0.11900000000000001</v>
      </c>
      <c r="K71" s="16"/>
      <c r="L71" s="16">
        <f>N71/100*R71</f>
        <v>0.120529392173189</v>
      </c>
      <c r="M71" s="23"/>
      <c r="N71" s="119">
        <v>14.7</v>
      </c>
      <c r="P71" s="57">
        <v>14.771000000000001</v>
      </c>
      <c r="Q71" s="57">
        <v>18.015000000000001</v>
      </c>
      <c r="R71" s="57">
        <f t="shared" si="0"/>
        <v>0.8199278379128504</v>
      </c>
    </row>
    <row r="72" spans="1:18" x14ac:dyDescent="0.25">
      <c r="A72" s="13">
        <f t="shared" si="2"/>
        <v>1998</v>
      </c>
      <c r="B72" s="16">
        <v>0.1235028643097314</v>
      </c>
      <c r="C72" s="16">
        <v>0.11162187409349965</v>
      </c>
      <c r="D72" s="16">
        <v>8.6715055382642195E-2</v>
      </c>
      <c r="F72" s="16">
        <v>0.17693999999999999</v>
      </c>
      <c r="G72" s="16">
        <v>0.16328857839107513</v>
      </c>
      <c r="H72" s="16">
        <v>0.12679219245910645</v>
      </c>
      <c r="I72" s="16"/>
      <c r="J72" s="16">
        <v>0.11900000000000001</v>
      </c>
      <c r="K72" s="16"/>
      <c r="L72" s="16">
        <f>N72/100*R72</f>
        <v>0.1241916387259011</v>
      </c>
      <c r="M72" s="23"/>
      <c r="N72" s="119">
        <v>15.5</v>
      </c>
      <c r="P72" s="57">
        <v>15.294</v>
      </c>
      <c r="Q72" s="57">
        <v>19.088000000000001</v>
      </c>
      <c r="R72" s="57">
        <f t="shared" si="0"/>
        <v>0.80123637887678123</v>
      </c>
    </row>
    <row r="73" spans="1:18" x14ac:dyDescent="0.25">
      <c r="A73" s="13">
        <f t="shared" si="2"/>
        <v>1999</v>
      </c>
      <c r="B73" s="16">
        <v>0.12784542314203862</v>
      </c>
      <c r="C73" s="16">
        <v>0.1156907938902664</v>
      </c>
      <c r="D73" s="16">
        <v>9.0266571464991521E-2</v>
      </c>
      <c r="F73" s="16">
        <v>0.18365999999999999</v>
      </c>
      <c r="G73" s="16">
        <v>0.16761612892150879</v>
      </c>
      <c r="H73" s="16">
        <v>0.12975104153156281</v>
      </c>
      <c r="I73" s="16"/>
      <c r="J73" s="16">
        <v>0.11699999999999999</v>
      </c>
      <c r="K73" s="16"/>
      <c r="L73" s="16">
        <f>N73/100*R73</f>
        <v>0.13066478746757135</v>
      </c>
      <c r="M73" s="23"/>
      <c r="N73" s="119">
        <v>16.5</v>
      </c>
      <c r="P73" s="57">
        <v>15.872999999999999</v>
      </c>
      <c r="Q73" s="57">
        <v>20.044</v>
      </c>
      <c r="R73" s="57">
        <f t="shared" si="0"/>
        <v>0.79190780283376572</v>
      </c>
    </row>
    <row r="74" spans="1:18" x14ac:dyDescent="0.25">
      <c r="A74" s="13">
        <f t="shared" si="2"/>
        <v>2000</v>
      </c>
      <c r="B74" s="16">
        <v>0.13289372751555226</v>
      </c>
      <c r="C74" s="16">
        <v>0.1204232231883146</v>
      </c>
      <c r="D74" s="16">
        <v>9.4086470759794788E-2</v>
      </c>
      <c r="F74" s="16">
        <v>0.19295000000000001</v>
      </c>
      <c r="G74" s="16">
        <v>0.17346110939979553</v>
      </c>
      <c r="H74" s="16">
        <v>0.13430693745613098</v>
      </c>
      <c r="I74" s="16"/>
      <c r="J74" s="16">
        <v>0.126</v>
      </c>
      <c r="K74" s="16">
        <v>0.12520000000000001</v>
      </c>
      <c r="L74" s="16">
        <f>N74/100*R74</f>
        <v>0.13488889921472053</v>
      </c>
      <c r="M74" s="23"/>
      <c r="N74" s="119">
        <v>17.600000000000001</v>
      </c>
      <c r="P74" s="57">
        <v>16.494</v>
      </c>
      <c r="Q74" s="57">
        <v>21.521000000000001</v>
      </c>
      <c r="R74" s="57">
        <f t="shared" si="0"/>
        <v>0.76641420008363925</v>
      </c>
    </row>
    <row r="75" spans="1:18" x14ac:dyDescent="0.25">
      <c r="A75" s="13">
        <f t="shared" si="2"/>
        <v>2001</v>
      </c>
      <c r="B75" s="16">
        <v>0.12284943924708812</v>
      </c>
      <c r="C75" s="16">
        <v>0.1106869620781834</v>
      </c>
      <c r="D75" s="16">
        <v>8.6243101260112948E-2</v>
      </c>
      <c r="F75" s="16">
        <v>0.16760000000000003</v>
      </c>
      <c r="G75" s="16">
        <v>0.16608379781246185</v>
      </c>
      <c r="H75" s="16">
        <v>0.13233564794063568</v>
      </c>
      <c r="I75" s="16"/>
      <c r="J75" s="16">
        <v>0.126</v>
      </c>
      <c r="K75" s="16">
        <v>0.12809999999999999</v>
      </c>
      <c r="L75" s="16">
        <f>N75/100*R75</f>
        <v>0.12317047200878156</v>
      </c>
      <c r="M75" s="23"/>
      <c r="N75" s="119">
        <v>14.6</v>
      </c>
      <c r="P75" s="57">
        <v>15.371</v>
      </c>
      <c r="Q75" s="57">
        <v>18.22</v>
      </c>
      <c r="R75" s="57">
        <f t="shared" si="0"/>
        <v>0.8436333699231614</v>
      </c>
    </row>
    <row r="76" spans="1:18" x14ac:dyDescent="0.25">
      <c r="A76" s="13">
        <f t="shared" si="2"/>
        <v>2002</v>
      </c>
      <c r="B76" s="16">
        <v>0.11651728187283869</v>
      </c>
      <c r="C76" s="16">
        <v>0.10438403781635271</v>
      </c>
      <c r="D76" s="16">
        <v>8.204246437205609E-2</v>
      </c>
      <c r="F76" s="16">
        <v>0.15912999999999999</v>
      </c>
      <c r="G76" s="16">
        <v>0.16102613508701324</v>
      </c>
      <c r="H76" s="16">
        <v>0.13202609121799469</v>
      </c>
      <c r="I76" s="16"/>
      <c r="J76" s="16">
        <v>0.11800000000000001</v>
      </c>
      <c r="K76" s="16">
        <v>0.1225</v>
      </c>
      <c r="L76" s="16">
        <f>N76/100*R76</f>
        <v>0.11820557367328791</v>
      </c>
      <c r="M76" s="23"/>
      <c r="N76" s="119">
        <v>13.3</v>
      </c>
      <c r="P76" s="57">
        <v>14.989000000000001</v>
      </c>
      <c r="Q76" s="57">
        <v>16.864999999999998</v>
      </c>
      <c r="R76" s="57">
        <f t="shared" si="0"/>
        <v>0.88876371182923231</v>
      </c>
    </row>
    <row r="77" spans="1:18" x14ac:dyDescent="0.25">
      <c r="A77" s="13">
        <f t="shared" si="2"/>
        <v>2003</v>
      </c>
      <c r="B77" s="16">
        <v>0.12090609337273232</v>
      </c>
      <c r="C77" s="16">
        <v>0.10819599075476452</v>
      </c>
      <c r="D77" s="16">
        <v>8.772478656895355E-2</v>
      </c>
      <c r="F77" s="16">
        <v>0.16390999999999997</v>
      </c>
      <c r="G77" s="16">
        <v>0.16332682967185974</v>
      </c>
      <c r="H77" s="16">
        <v>0.13464736938476563</v>
      </c>
      <c r="I77" s="16"/>
      <c r="J77" s="16">
        <v>0.11199999999999999</v>
      </c>
      <c r="K77" s="16">
        <v>0.11799999999999999</v>
      </c>
      <c r="L77" s="16">
        <f>N77/100*R77</f>
        <v>0.12238555454130534</v>
      </c>
      <c r="M77" s="23"/>
      <c r="N77" s="119">
        <v>14.1</v>
      </c>
      <c r="P77" s="57">
        <v>15.214</v>
      </c>
      <c r="Q77" s="57">
        <v>17.527999999999999</v>
      </c>
      <c r="R77" s="57">
        <f t="shared" si="0"/>
        <v>0.86798265632131455</v>
      </c>
    </row>
    <row r="78" spans="1:18" x14ac:dyDescent="0.25">
      <c r="A78" s="13">
        <f t="shared" si="2"/>
        <v>2004</v>
      </c>
      <c r="B78" s="16">
        <v>0.13042465681242077</v>
      </c>
      <c r="C78" s="16">
        <v>0.11681078579628887</v>
      </c>
      <c r="D78" s="16">
        <v>9.2561906374858449E-2</v>
      </c>
      <c r="F78" s="16">
        <v>0.18118999999999999</v>
      </c>
      <c r="G78" s="16">
        <v>0.17063263058662415</v>
      </c>
      <c r="H78" s="16">
        <v>0.13849525153636932</v>
      </c>
      <c r="I78" s="16"/>
      <c r="J78" s="16">
        <v>0.12</v>
      </c>
      <c r="K78" s="16">
        <v>0.12820000000000001</v>
      </c>
      <c r="L78" s="16">
        <f>N78/100*R78</f>
        <v>0.13315734318837644</v>
      </c>
      <c r="M78" s="23"/>
      <c r="N78" s="119">
        <v>16.100000000000001</v>
      </c>
      <c r="P78" s="57">
        <v>16.337</v>
      </c>
      <c r="Q78" s="57">
        <v>19.753</v>
      </c>
      <c r="R78" s="57">
        <f t="shared" si="0"/>
        <v>0.82706424340606488</v>
      </c>
    </row>
    <row r="79" spans="1:18" x14ac:dyDescent="0.25">
      <c r="A79" s="13">
        <f t="shared" si="2"/>
        <v>2005</v>
      </c>
      <c r="B79" s="16">
        <v>0.14078954752135975</v>
      </c>
      <c r="C79" s="16">
        <v>0.1260737859770775</v>
      </c>
      <c r="D79" s="16">
        <v>9.8652868369079869E-2</v>
      </c>
      <c r="F79" s="16">
        <v>0.20036999999999999</v>
      </c>
      <c r="G79" s="16">
        <v>0.18077278137207031</v>
      </c>
      <c r="H79" s="16">
        <v>0.1439482569694519</v>
      </c>
      <c r="I79" s="16"/>
      <c r="J79" s="16">
        <v>0.12300000000000001</v>
      </c>
      <c r="K79" s="16">
        <v>0.12959999999999999</v>
      </c>
      <c r="L79" s="16">
        <f>N79/100*R79</f>
        <v>0.14441043073553567</v>
      </c>
      <c r="M79" s="23"/>
      <c r="N79" s="119">
        <v>17.899999999999999</v>
      </c>
      <c r="P79" s="57">
        <v>17.681000000000001</v>
      </c>
      <c r="Q79" s="57">
        <v>21.916</v>
      </c>
      <c r="R79" s="57">
        <f t="shared" si="0"/>
        <v>0.80676218288008761</v>
      </c>
    </row>
    <row r="80" spans="1:18" x14ac:dyDescent="0.25">
      <c r="A80" s="13">
        <f t="shared" si="2"/>
        <v>2006</v>
      </c>
      <c r="B80" s="16">
        <v>0.14538740941795281</v>
      </c>
      <c r="C80" s="16">
        <v>0.13023565308569943</v>
      </c>
      <c r="D80" s="16">
        <v>0.10147380015973345</v>
      </c>
      <c r="F80" s="16">
        <v>0.20864000000000002</v>
      </c>
      <c r="G80" s="16">
        <v>0.185418501496315</v>
      </c>
      <c r="H80" s="16">
        <v>0.14559231698513031</v>
      </c>
      <c r="I80" s="16"/>
      <c r="J80" s="16">
        <v>0.13800000000000001</v>
      </c>
      <c r="K80" s="16">
        <v>0.1381</v>
      </c>
      <c r="L80" s="16">
        <f>N80/100*R80</f>
        <v>0.14717495508916448</v>
      </c>
      <c r="M80" s="23"/>
      <c r="N80" s="119">
        <v>18.600000000000001</v>
      </c>
      <c r="P80" s="57">
        <v>18.059000000000001</v>
      </c>
      <c r="Q80" s="57">
        <v>22.823</v>
      </c>
      <c r="R80" s="57">
        <f t="shared" si="0"/>
        <v>0.79126319940410994</v>
      </c>
    </row>
    <row r="81" spans="1:18" x14ac:dyDescent="0.25">
      <c r="A81" s="13">
        <f t="shared" si="2"/>
        <v>2007</v>
      </c>
      <c r="B81" s="16">
        <v>0.14532352341551816</v>
      </c>
      <c r="C81" s="16">
        <v>0.12967541199975394</v>
      </c>
      <c r="D81" s="16">
        <v>9.8456034630230352E-2</v>
      </c>
      <c r="F81" s="16">
        <v>0.21513000000000002</v>
      </c>
      <c r="G81" s="16">
        <v>0.18382576107978821</v>
      </c>
      <c r="H81" s="16">
        <v>0.14117053151130676</v>
      </c>
      <c r="I81" s="16"/>
      <c r="J81" s="16"/>
      <c r="K81" s="16">
        <v>0.13009999999999999</v>
      </c>
      <c r="L81" s="16">
        <f>N81/100*R81</f>
        <v>0.14971637663277029</v>
      </c>
      <c r="M81" s="22"/>
      <c r="N81" s="119">
        <v>19.2</v>
      </c>
      <c r="P81" s="57">
        <v>18.327000000000002</v>
      </c>
      <c r="Q81" s="57">
        <v>23.503</v>
      </c>
      <c r="R81" s="57">
        <f t="shared" si="0"/>
        <v>0.77977279496234531</v>
      </c>
    </row>
    <row r="82" spans="1:18" x14ac:dyDescent="0.25">
      <c r="A82" s="13">
        <f t="shared" si="2"/>
        <v>2008</v>
      </c>
      <c r="B82" s="16">
        <v>0.13655443635794021</v>
      </c>
      <c r="C82" s="16">
        <v>0.12018410873639761</v>
      </c>
      <c r="D82" s="16">
        <v>8.9200997579589353E-2</v>
      </c>
      <c r="F82" s="16">
        <v>0.19574000000000003</v>
      </c>
      <c r="G82" s="16">
        <v>0.17935754358768463</v>
      </c>
      <c r="H82" s="16">
        <v>0.13871331512928009</v>
      </c>
      <c r="I82" s="16"/>
      <c r="J82" s="16"/>
      <c r="K82" s="16">
        <v>0.1273</v>
      </c>
      <c r="L82" s="16">
        <f>N82/100*R82</f>
        <v>0.14008822686909192</v>
      </c>
      <c r="M82" s="22"/>
      <c r="N82" s="119">
        <v>16.399999999999999</v>
      </c>
      <c r="P82" s="57">
        <v>17.891999999999999</v>
      </c>
      <c r="Q82" s="57">
        <v>20.946000000000002</v>
      </c>
      <c r="R82" s="57">
        <f t="shared" si="0"/>
        <v>0.8541965052993411</v>
      </c>
    </row>
    <row r="83" spans="1:18" x14ac:dyDescent="0.25">
      <c r="A83" s="13">
        <f t="shared" si="2"/>
        <v>2009</v>
      </c>
      <c r="B83" s="16">
        <v>0.12760173003234107</v>
      </c>
      <c r="C83" s="16">
        <v>0.11075127556858402</v>
      </c>
      <c r="D83" s="16">
        <v>8.1744371164088475E-2</v>
      </c>
      <c r="F83" s="16">
        <v>0.17478000000000002</v>
      </c>
      <c r="G83" s="16">
        <v>0.16755276918411255</v>
      </c>
      <c r="H83" s="16">
        <v>0.13360230624675751</v>
      </c>
      <c r="I83" s="16"/>
      <c r="J83" s="16"/>
      <c r="K83" s="16">
        <v>0.1207</v>
      </c>
      <c r="L83" s="16">
        <f>N83/100*R83</f>
        <v>0.12611198189745568</v>
      </c>
      <c r="M83" s="21"/>
      <c r="N83" s="119">
        <v>13.7</v>
      </c>
      <c r="P83" s="57">
        <v>16.678999999999998</v>
      </c>
      <c r="Q83" s="57">
        <v>18.119</v>
      </c>
      <c r="R83" s="57">
        <f t="shared" si="0"/>
        <v>0.92052541530989562</v>
      </c>
    </row>
    <row r="84" spans="1:18" x14ac:dyDescent="0.25">
      <c r="A84" s="13">
        <f t="shared" si="2"/>
        <v>2010</v>
      </c>
      <c r="B84" s="16">
        <v>0.13819847941779137</v>
      </c>
      <c r="C84" s="16">
        <v>0.12003390699083084</v>
      </c>
      <c r="D84" s="16">
        <v>8.9361326484124801E-2</v>
      </c>
      <c r="F84" s="16">
        <v>0.18827000000000002</v>
      </c>
      <c r="G84" s="16">
        <v>0.17931967973709106</v>
      </c>
      <c r="H84" s="16">
        <v>0.144582599401474</v>
      </c>
      <c r="I84" s="16"/>
      <c r="J84" s="16"/>
      <c r="K84" s="16">
        <v>0.121</v>
      </c>
      <c r="L84" s="16">
        <f>N84/100*R84</f>
        <v>0.13442093339374717</v>
      </c>
      <c r="M84" s="21"/>
      <c r="N84" s="119">
        <v>15.3</v>
      </c>
      <c r="P84" s="57">
        <v>17.451000000000001</v>
      </c>
      <c r="Q84" s="57">
        <v>19.863</v>
      </c>
      <c r="R84" s="57">
        <f t="shared" si="0"/>
        <v>0.87856819211599457</v>
      </c>
    </row>
    <row r="85" spans="1:18" x14ac:dyDescent="0.25">
      <c r="A85" s="13">
        <f t="shared" si="2"/>
        <v>2011</v>
      </c>
      <c r="B85" s="16">
        <v>0.13447749905738249</v>
      </c>
      <c r="C85" s="16">
        <v>0.11731235107091376</v>
      </c>
      <c r="D85" s="16">
        <v>8.6166947298741386E-2</v>
      </c>
      <c r="F85" s="16">
        <v>0.18845999999999999</v>
      </c>
      <c r="G85" s="16">
        <v>0.18176597356796265</v>
      </c>
      <c r="H85" s="16">
        <v>0.14725068211555481</v>
      </c>
      <c r="I85" s="16"/>
      <c r="J85" s="16"/>
      <c r="K85" s="16">
        <v>0.1321</v>
      </c>
      <c r="L85" s="16">
        <f>N85/100*R85</f>
        <v>0.13424527917748255</v>
      </c>
      <c r="M85" s="21"/>
      <c r="N85" s="119">
        <v>15.1</v>
      </c>
      <c r="P85" s="57">
        <v>17.466999999999999</v>
      </c>
      <c r="Q85" s="57">
        <v>19.646999999999998</v>
      </c>
      <c r="R85" s="57">
        <f t="shared" si="0"/>
        <v>0.88904158395683819</v>
      </c>
    </row>
    <row r="86" spans="1:18" x14ac:dyDescent="0.25">
      <c r="A86" s="13">
        <f t="shared" si="2"/>
        <v>2012</v>
      </c>
      <c r="B86" s="16">
        <v>0.14880178677187605</v>
      </c>
      <c r="C86" s="16">
        <v>0.13004551747400239</v>
      </c>
      <c r="D86" s="16">
        <v>9.8696735330480886E-2</v>
      </c>
      <c r="F86" s="16">
        <v>0.2122</v>
      </c>
      <c r="G86" s="16">
        <v>0.19496984779834747</v>
      </c>
      <c r="H86" s="16">
        <v>0.15753494203090668</v>
      </c>
      <c r="I86" s="16"/>
      <c r="J86" s="16"/>
      <c r="K86" s="16">
        <v>0.14080000000000001</v>
      </c>
      <c r="L86" s="16">
        <f>N86/100*R86</f>
        <v>0.14717671280883129</v>
      </c>
      <c r="M86" s="21"/>
      <c r="N86" s="119">
        <v>17.8</v>
      </c>
      <c r="P86" s="57">
        <v>18.875</v>
      </c>
      <c r="Q86" s="57">
        <v>22.827999999999999</v>
      </c>
      <c r="R86" s="57">
        <f t="shared" si="0"/>
        <v>0.82683546521815321</v>
      </c>
    </row>
    <row r="87" spans="1:18" x14ac:dyDescent="0.25">
      <c r="A87" s="13">
        <f t="shared" si="2"/>
        <v>2013</v>
      </c>
      <c r="B87" s="16">
        <v>0.13581085769098403</v>
      </c>
      <c r="C87" s="16">
        <v>0.11893436993218569</v>
      </c>
      <c r="D87" s="16">
        <v>8.6281759277472697E-2</v>
      </c>
      <c r="F87" s="16">
        <v>0.18914999999999998</v>
      </c>
      <c r="G87" s="16">
        <v>0.18485242128372192</v>
      </c>
      <c r="H87" s="16">
        <v>0.14627687633037567</v>
      </c>
      <c r="I87" s="16"/>
      <c r="K87" s="16">
        <v>0.13589999999999999</v>
      </c>
      <c r="L87" s="16">
        <f>N87/100*R87</f>
        <v>0.13413226032190345</v>
      </c>
      <c r="M87" s="21"/>
      <c r="N87" s="119">
        <v>15.4</v>
      </c>
      <c r="P87" s="57">
        <v>17.425000000000001</v>
      </c>
      <c r="Q87" s="57">
        <v>20.006</v>
      </c>
      <c r="R87" s="57">
        <f t="shared" si="0"/>
        <v>0.87098870338898338</v>
      </c>
    </row>
    <row r="88" spans="1:18" x14ac:dyDescent="0.25">
      <c r="A88" s="13">
        <f t="shared" si="2"/>
        <v>2014</v>
      </c>
      <c r="B88" s="16">
        <v>0.14170025784965681</v>
      </c>
      <c r="C88" s="16">
        <v>0.12411658763369829</v>
      </c>
      <c r="D88" s="16">
        <v>9.1018407623863096E-2</v>
      </c>
      <c r="F88" s="16">
        <v>0.19872000000000001</v>
      </c>
      <c r="G88" s="16">
        <v>0.18980042636394501</v>
      </c>
      <c r="H88" s="16">
        <v>0.1491997241973877</v>
      </c>
      <c r="I88" s="16"/>
      <c r="K88" s="16">
        <v>0.13730000000000001</v>
      </c>
      <c r="L88" s="16">
        <f>N88/100*R88</f>
        <v>0.13814749070631968</v>
      </c>
      <c r="M88" s="21"/>
      <c r="N88" s="119">
        <v>16.7</v>
      </c>
      <c r="P88" s="57">
        <v>17.802</v>
      </c>
      <c r="Q88" s="57">
        <v>21.52</v>
      </c>
      <c r="R88" s="57">
        <f t="shared" si="0"/>
        <v>0.82723048327137549</v>
      </c>
    </row>
    <row r="89" spans="1:18" x14ac:dyDescent="0.25">
      <c r="A89" s="13">
        <f t="shared" si="2"/>
        <v>2015</v>
      </c>
      <c r="B89" s="16">
        <v>0.13763444903518479</v>
      </c>
      <c r="C89" s="16">
        <v>0.12029096374853651</v>
      </c>
      <c r="D89" s="16">
        <v>8.8076925707625153E-2</v>
      </c>
      <c r="F89" s="16">
        <v>0.19815000000000002</v>
      </c>
      <c r="G89" s="16">
        <v>0.18911042809486389</v>
      </c>
      <c r="H89" s="16">
        <v>0.14668060839176178</v>
      </c>
      <c r="I89" s="16"/>
      <c r="K89" s="16">
        <v>0.13469999999999999</v>
      </c>
      <c r="L89" s="16">
        <f>N89/100*R89</f>
        <v>0.13879218011674235</v>
      </c>
      <c r="M89" s="21"/>
      <c r="N89" s="119">
        <v>16.600000000000001</v>
      </c>
      <c r="P89" s="57">
        <v>18.047999999999998</v>
      </c>
      <c r="Q89" s="57">
        <v>21.585999999999999</v>
      </c>
      <c r="R89" s="57">
        <f t="shared" si="0"/>
        <v>0.83609747058278516</v>
      </c>
    </row>
    <row r="90" spans="1:18" x14ac:dyDescent="0.25">
      <c r="A90" s="13">
        <f t="shared" si="2"/>
        <v>2016</v>
      </c>
      <c r="B90" s="16">
        <v>0.13419554909877796</v>
      </c>
      <c r="C90" s="16">
        <v>0.11705409518054577</v>
      </c>
      <c r="D90" s="16">
        <v>8.4921084405299385E-2</v>
      </c>
      <c r="F90" s="16">
        <v>0.19216999999999998</v>
      </c>
      <c r="G90" s="16">
        <v>0.18671123683452606</v>
      </c>
      <c r="H90" s="16">
        <v>0.14605778455734253</v>
      </c>
      <c r="I90" s="16"/>
      <c r="K90" s="16">
        <v>0.1318</v>
      </c>
      <c r="L90" s="16">
        <f>N90/100*R90</f>
        <v>0.1350248300467673</v>
      </c>
      <c r="M90" s="21"/>
      <c r="N90" s="119">
        <v>15.8</v>
      </c>
      <c r="P90" s="57">
        <v>17.725000000000001</v>
      </c>
      <c r="Q90" s="57">
        <v>20.741</v>
      </c>
      <c r="R90" s="57">
        <f t="shared" si="0"/>
        <v>0.85458753194156512</v>
      </c>
    </row>
    <row r="91" spans="1:18" x14ac:dyDescent="0.25">
      <c r="A91" s="13">
        <f t="shared" si="2"/>
        <v>2017</v>
      </c>
      <c r="B91" s="16">
        <v>0.14138500814474045</v>
      </c>
      <c r="C91" s="16">
        <v>0.12352673167851266</v>
      </c>
      <c r="D91" s="16">
        <v>9.0910337052887355E-2</v>
      </c>
      <c r="F91" s="16">
        <v>0.20213999999999999</v>
      </c>
      <c r="G91" s="16">
        <v>0.19064128398895264</v>
      </c>
      <c r="H91" s="16">
        <v>0.14854991436004639</v>
      </c>
      <c r="I91" s="16"/>
      <c r="K91" s="16">
        <v>0.13220000000000001</v>
      </c>
      <c r="L91" s="16">
        <f>N91/100*R91</f>
        <v>0.13707992911346389</v>
      </c>
      <c r="M91" s="21"/>
      <c r="N91" s="119">
        <v>16.600000000000001</v>
      </c>
      <c r="P91" s="57">
        <v>18.172999999999998</v>
      </c>
      <c r="Q91" s="57">
        <v>22.007000000000001</v>
      </c>
      <c r="R91" s="57">
        <f t="shared" si="0"/>
        <v>0.82578270550279442</v>
      </c>
    </row>
    <row r="92" spans="1:18" x14ac:dyDescent="0.25">
      <c r="A92" s="13">
        <f t="shared" si="2"/>
        <v>2018</v>
      </c>
      <c r="B92" s="16">
        <v>0.14229334164738572</v>
      </c>
      <c r="C92" s="16">
        <v>0.1246119129032093</v>
      </c>
      <c r="D92" s="16">
        <v>9.219328179621547E-2</v>
      </c>
      <c r="F92" s="16">
        <v>0.20482</v>
      </c>
      <c r="G92" s="16">
        <v>0.19258831441402435</v>
      </c>
      <c r="H92" s="16">
        <v>0.15296655893325806</v>
      </c>
      <c r="I92" s="16"/>
      <c r="K92" s="16">
        <v>0.1358</v>
      </c>
      <c r="L92" s="16">
        <f>N92/100*R92</f>
        <v>0.13869990438464691</v>
      </c>
      <c r="M92" s="21"/>
      <c r="N92" s="119">
        <v>16.600000000000001</v>
      </c>
      <c r="P92" s="57">
        <v>18.350999999999999</v>
      </c>
      <c r="Q92" s="57">
        <v>21.963000000000001</v>
      </c>
      <c r="R92" s="57">
        <f t="shared" si="0"/>
        <v>0.83554159267859573</v>
      </c>
    </row>
    <row r="93" spans="1:18" x14ac:dyDescent="0.25">
      <c r="A93" s="13">
        <f t="shared" si="2"/>
        <v>2019</v>
      </c>
      <c r="B93" s="16">
        <v>0.13785770525864624</v>
      </c>
      <c r="C93" s="16">
        <v>0.12043808648654329</v>
      </c>
      <c r="D93" s="16">
        <v>8.8028759161501019E-2</v>
      </c>
      <c r="F93" s="16">
        <v>0.19431000000000001</v>
      </c>
      <c r="G93" s="16">
        <v>0.19077830016613007</v>
      </c>
      <c r="H93" s="16">
        <v>0.15138092637062073</v>
      </c>
      <c r="I93" s="16"/>
      <c r="K93" s="16">
        <v>0.12790000000000001</v>
      </c>
      <c r="L93" s="16">
        <f>N93/100*R93</f>
        <v>0.13225809960743509</v>
      </c>
      <c r="M93" s="21"/>
      <c r="N93" s="119">
        <v>15.9</v>
      </c>
      <c r="P93" s="57">
        <v>17.587</v>
      </c>
      <c r="Q93" s="57">
        <v>21.143000000000001</v>
      </c>
      <c r="R93" s="57">
        <f t="shared" si="0"/>
        <v>0.83181194721657281</v>
      </c>
    </row>
    <row r="94" spans="1:18" x14ac:dyDescent="0.25">
      <c r="A94" s="28">
        <f t="shared" si="2"/>
        <v>2020</v>
      </c>
      <c r="B94" s="31"/>
      <c r="C94" s="31"/>
      <c r="D94" s="31"/>
      <c r="E94" s="31"/>
      <c r="F94" s="31"/>
      <c r="G94" s="31"/>
      <c r="H94" s="31"/>
      <c r="I94" s="31"/>
      <c r="J94" s="31"/>
      <c r="K94" s="38">
        <v>0.12470000000000001</v>
      </c>
      <c r="L94" s="38"/>
      <c r="N94" s="36"/>
    </row>
    <row r="95" spans="1:18" x14ac:dyDescent="0.25">
      <c r="A95" s="13"/>
    </row>
    <row r="96" spans="1:18" x14ac:dyDescent="0.25">
      <c r="A96" s="13"/>
      <c r="N96" s="39" t="s">
        <v>176</v>
      </c>
    </row>
    <row r="97" spans="1:14" x14ac:dyDescent="0.25">
      <c r="M97" s="20"/>
      <c r="N97" s="117" t="s">
        <v>173</v>
      </c>
    </row>
    <row r="98" spans="1:14" x14ac:dyDescent="0.25">
      <c r="A98" s="18" t="s">
        <v>8</v>
      </c>
      <c r="B98" s="16">
        <f>B93-B36</f>
        <v>2.6440241437830483E-2</v>
      </c>
      <c r="C98" s="16">
        <f>C93-C36</f>
        <v>1.4037013240426111E-2</v>
      </c>
      <c r="D98" s="16">
        <f>D93-D36</f>
        <v>1.5950120181021515E-3</v>
      </c>
      <c r="E98" s="16"/>
      <c r="G98" t="s">
        <v>37</v>
      </c>
    </row>
    <row r="99" spans="1:14" x14ac:dyDescent="0.25">
      <c r="A99" s="18" t="s">
        <v>7</v>
      </c>
      <c r="B99" s="16">
        <f>B93-B53</f>
        <v>4.3786780320884691E-2</v>
      </c>
      <c r="C99" s="16">
        <f>C93-C53</f>
        <v>3.3548625268229215E-2</v>
      </c>
      <c r="D99" s="16">
        <f>D93-D53</f>
        <v>1.4359432838881844E-2</v>
      </c>
      <c r="E99" s="16"/>
      <c r="J99" s="19" t="s">
        <v>9</v>
      </c>
      <c r="K99" s="19"/>
    </row>
    <row r="100" spans="1:14" x14ac:dyDescent="0.25">
      <c r="F100" s="10"/>
      <c r="G100" s="10"/>
      <c r="H100" s="10"/>
    </row>
    <row r="101" spans="1:14" x14ac:dyDescent="0.25">
      <c r="A101" s="18" t="s">
        <v>8</v>
      </c>
      <c r="B101" s="14">
        <f>B98/B36</f>
        <v>0.2373078737490589</v>
      </c>
      <c r="C101" s="14">
        <f>C98/C36</f>
        <v>0.13192548545029223</v>
      </c>
      <c r="D101" s="14">
        <f>D98/D36</f>
        <v>1.8453579427210636E-2</v>
      </c>
    </row>
    <row r="102" spans="1:14" x14ac:dyDescent="0.25">
      <c r="A102" s="18" t="s">
        <v>7</v>
      </c>
      <c r="B102" s="14">
        <f>B99/B53</f>
        <v>0.46546560852733776</v>
      </c>
      <c r="C102" s="14">
        <f>C99/C53</f>
        <v>0.38610695471959061</v>
      </c>
      <c r="D102" s="14">
        <f>D99/D53</f>
        <v>0.19491739039390366</v>
      </c>
      <c r="E102" s="17"/>
      <c r="F102" s="17"/>
      <c r="G102" s="17"/>
    </row>
    <row r="106" spans="1:14" x14ac:dyDescent="0.25">
      <c r="A106" s="4"/>
      <c r="B106" s="4"/>
      <c r="C106" s="4"/>
      <c r="D106" s="4"/>
      <c r="E106" s="4"/>
      <c r="F106" s="4"/>
      <c r="G106" s="4"/>
      <c r="H106" s="4"/>
    </row>
    <row r="107" spans="1:14" x14ac:dyDescent="0.25">
      <c r="F107" s="6"/>
      <c r="H107" s="6"/>
    </row>
    <row r="108" spans="1:14" x14ac:dyDescent="0.25">
      <c r="F108" s="6"/>
      <c r="H108" s="6"/>
    </row>
    <row r="110" spans="1:14" x14ac:dyDescent="0.25">
      <c r="F110" s="6"/>
    </row>
    <row r="111" spans="1:14" x14ac:dyDescent="0.25">
      <c r="F111" s="6"/>
      <c r="G111" s="16"/>
      <c r="I111" s="16"/>
      <c r="J111" s="10"/>
    </row>
  </sheetData>
  <mergeCells count="2">
    <mergeCell ref="A28:H28"/>
    <mergeCell ref="B32:D32"/>
  </mergeCells>
  <hyperlinks>
    <hyperlink ref="N97" r:id="rId1" xr:uid="{ABCD196B-B4ED-411D-B12E-F46A76FADEA9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DC65-9BB3-420B-916D-4B1D7328374A}">
  <dimension ref="A1:R55"/>
  <sheetViews>
    <sheetView zoomScaleNormal="100" workbookViewId="0">
      <selection activeCell="A2" sqref="A2"/>
    </sheetView>
  </sheetViews>
  <sheetFormatPr defaultRowHeight="15" x14ac:dyDescent="0.25"/>
  <cols>
    <col min="1" max="1" width="39.42578125" customWidth="1"/>
    <col min="2" max="2" width="9.85546875" customWidth="1"/>
    <col min="3" max="3" width="11.140625" customWidth="1"/>
    <col min="4" max="4" width="8.42578125" customWidth="1"/>
    <col min="5" max="5" width="12.28515625" bestFit="1" customWidth="1"/>
    <col min="6" max="6" width="11.5703125" customWidth="1"/>
    <col min="7" max="7" width="13.5703125" customWidth="1"/>
    <col min="8" max="9" width="7" customWidth="1"/>
    <col min="10" max="10" width="9" customWidth="1"/>
    <col min="11" max="11" width="7" customWidth="1"/>
    <col min="12" max="12" width="10.5703125" customWidth="1"/>
    <col min="13" max="16" width="6.85546875" customWidth="1"/>
  </cols>
  <sheetData>
    <row r="1" spans="1:6" ht="15.75" x14ac:dyDescent="0.25">
      <c r="A1" s="50" t="s">
        <v>148</v>
      </c>
    </row>
    <row r="2" spans="1:6" x14ac:dyDescent="0.25">
      <c r="A2" s="51"/>
      <c r="F2" s="51"/>
    </row>
    <row r="21" spans="1:16" x14ac:dyDescent="0.25">
      <c r="A21" s="32" t="s">
        <v>46</v>
      </c>
    </row>
    <row r="22" spans="1:16" x14ac:dyDescent="0.25">
      <c r="A22" s="32"/>
    </row>
    <row r="23" spans="1:16" x14ac:dyDescent="0.25">
      <c r="A23" s="30" t="s">
        <v>6</v>
      </c>
      <c r="B23" s="31"/>
      <c r="C23" s="31"/>
      <c r="D23" s="31"/>
      <c r="E23" s="31"/>
      <c r="F23" s="31"/>
      <c r="G23" s="31"/>
      <c r="I23" s="4"/>
    </row>
    <row r="24" spans="1:16" ht="60" x14ac:dyDescent="0.25">
      <c r="B24" s="15" t="s">
        <v>3</v>
      </c>
      <c r="C24" s="15"/>
      <c r="D24" s="15" t="s">
        <v>136</v>
      </c>
      <c r="E24" s="15" t="s">
        <v>5</v>
      </c>
      <c r="F24" s="15" t="s">
        <v>137</v>
      </c>
      <c r="G24" s="15" t="s">
        <v>4</v>
      </c>
      <c r="H24" s="15"/>
      <c r="I24" s="15"/>
      <c r="J24" s="15"/>
      <c r="K24" s="15"/>
      <c r="L24" s="15"/>
    </row>
    <row r="25" spans="1:16" x14ac:dyDescent="0.25">
      <c r="A25" s="4" t="s">
        <v>181</v>
      </c>
      <c r="B25" s="13">
        <f>1.2</f>
        <v>1.2</v>
      </c>
      <c r="C25" s="11"/>
      <c r="D25" s="12" t="s">
        <v>0</v>
      </c>
      <c r="E25" s="11">
        <f>(E26-$D26)*100</f>
        <v>0.14090973793507711</v>
      </c>
      <c r="F25" s="11">
        <f t="shared" ref="E25:G25" si="0">(F26-$D26)*100</f>
        <v>0.15192874893489028</v>
      </c>
      <c r="G25" s="11">
        <f t="shared" si="0"/>
        <v>5.7077887175091546E-2</v>
      </c>
      <c r="H25" s="11"/>
      <c r="I25" s="13"/>
      <c r="J25" s="12"/>
      <c r="K25" s="11"/>
      <c r="L25" s="11"/>
    </row>
    <row r="26" spans="1:16" x14ac:dyDescent="0.25">
      <c r="A26" s="30" t="s">
        <v>134</v>
      </c>
      <c r="B26" s="31"/>
      <c r="C26" s="106"/>
      <c r="D26" s="99">
        <v>0.13786000000000001</v>
      </c>
      <c r="E26" s="106">
        <v>0.13926909737935078</v>
      </c>
      <c r="F26" s="106">
        <v>0.13937928748934891</v>
      </c>
      <c r="G26" s="106">
        <v>0.13843077887175093</v>
      </c>
      <c r="P26" s="10"/>
    </row>
    <row r="27" spans="1:16" s="120" customFormat="1" x14ac:dyDescent="0.25">
      <c r="A27" s="125"/>
      <c r="B27" s="58"/>
      <c r="C27" s="126"/>
      <c r="D27" s="127"/>
      <c r="E27" s="126"/>
      <c r="F27" s="126"/>
      <c r="G27" s="126"/>
      <c r="P27" s="10"/>
    </row>
    <row r="28" spans="1:16" s="120" customFormat="1" x14ac:dyDescent="0.25">
      <c r="A28" s="125"/>
      <c r="B28" s="11"/>
      <c r="C28" s="11"/>
      <c r="D28" s="12"/>
      <c r="E28" s="11"/>
      <c r="F28" s="11"/>
      <c r="G28" s="11"/>
      <c r="P28" s="10"/>
    </row>
    <row r="30" spans="1:16" x14ac:dyDescent="0.25">
      <c r="A30" s="108" t="s">
        <v>149</v>
      </c>
      <c r="H30" s="3"/>
    </row>
    <row r="31" spans="1:16" x14ac:dyDescent="0.25">
      <c r="A31" s="95" t="s">
        <v>145</v>
      </c>
      <c r="G31" s="4"/>
      <c r="H31" s="3"/>
    </row>
    <row r="32" spans="1:16" x14ac:dyDescent="0.25">
      <c r="A32" s="95" t="s">
        <v>147</v>
      </c>
      <c r="B32" s="105"/>
      <c r="H32" s="3"/>
    </row>
    <row r="33" spans="1:18" x14ac:dyDescent="0.25">
      <c r="A33" s="95" t="s">
        <v>146</v>
      </c>
    </row>
    <row r="34" spans="1:18" x14ac:dyDescent="0.25">
      <c r="A34" s="95"/>
      <c r="B34" s="105"/>
    </row>
    <row r="36" spans="1:18" x14ac:dyDescent="0.25">
      <c r="A36" s="3" t="s">
        <v>182</v>
      </c>
      <c r="M36" s="3"/>
      <c r="N36" s="3"/>
      <c r="O36" s="3"/>
      <c r="P36" s="3"/>
    </row>
    <row r="37" spans="1:18" x14ac:dyDescent="0.25">
      <c r="A37" s="3"/>
      <c r="M37" s="3"/>
      <c r="N37" s="3"/>
      <c r="O37" s="3"/>
      <c r="P37" s="3"/>
    </row>
    <row r="38" spans="1:18" x14ac:dyDescent="0.25">
      <c r="M38" s="3"/>
      <c r="N38" s="3"/>
      <c r="O38" s="3"/>
      <c r="P38" s="3"/>
      <c r="Q38" s="3"/>
      <c r="R38" s="3"/>
    </row>
    <row r="39" spans="1:18" x14ac:dyDescent="0.25">
      <c r="M39" s="1"/>
      <c r="N39" s="1"/>
      <c r="O39" s="1"/>
      <c r="P39" s="1"/>
      <c r="Q39" s="1"/>
      <c r="R39" s="1"/>
    </row>
    <row r="42" spans="1:18" x14ac:dyDescent="0.25">
      <c r="A42" s="4"/>
    </row>
    <row r="44" spans="1:18" x14ac:dyDescent="0.25">
      <c r="A44" s="3"/>
      <c r="M44" s="3"/>
      <c r="N44" s="3"/>
      <c r="O44" s="3"/>
      <c r="P44" s="3"/>
      <c r="Q44" s="3"/>
    </row>
    <row r="45" spans="1:18" x14ac:dyDescent="0.25">
      <c r="A45" s="3"/>
      <c r="M45" s="3"/>
      <c r="N45" s="3"/>
      <c r="O45" s="3"/>
      <c r="P45" s="3"/>
      <c r="Q45" s="3"/>
    </row>
    <row r="46" spans="1:18" x14ac:dyDescent="0.25">
      <c r="M46" s="3"/>
      <c r="N46" s="3"/>
      <c r="O46" s="3"/>
      <c r="P46" s="3"/>
      <c r="Q46" s="3"/>
      <c r="R46" s="3"/>
    </row>
    <row r="47" spans="1:18" x14ac:dyDescent="0.25">
      <c r="M47" s="1"/>
      <c r="N47" s="1"/>
      <c r="O47" s="1"/>
      <c r="P47" s="1"/>
      <c r="R47" s="1"/>
    </row>
    <row r="50" spans="1:18" x14ac:dyDescent="0.25">
      <c r="A50" s="4"/>
    </row>
    <row r="52" spans="1:18" x14ac:dyDescent="0.25">
      <c r="A52" s="3"/>
      <c r="M52" s="3"/>
      <c r="N52" s="3"/>
      <c r="O52" s="3"/>
      <c r="P52" s="3"/>
      <c r="Q52" s="3"/>
    </row>
    <row r="53" spans="1:18" x14ac:dyDescent="0.25">
      <c r="A53" s="3"/>
      <c r="M53" s="3"/>
      <c r="N53" s="3"/>
      <c r="O53" s="3"/>
      <c r="P53" s="3"/>
      <c r="Q53" s="3"/>
    </row>
    <row r="54" spans="1:18" x14ac:dyDescent="0.25">
      <c r="M54" s="3"/>
      <c r="N54" s="3"/>
      <c r="O54" s="3"/>
      <c r="P54" s="3"/>
      <c r="Q54" s="3"/>
      <c r="R54" s="3"/>
    </row>
    <row r="55" spans="1:18" x14ac:dyDescent="0.25">
      <c r="M55" s="1"/>
      <c r="N55" s="1"/>
      <c r="O55" s="1"/>
      <c r="P55" s="1"/>
      <c r="R55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AAE8-3CFE-4CD0-B1ED-69A4D27CEA33}">
  <dimension ref="A1:G40"/>
  <sheetViews>
    <sheetView zoomScale="85" zoomScaleNormal="85" workbookViewId="0">
      <selection activeCell="G12" sqref="G12"/>
    </sheetView>
  </sheetViews>
  <sheetFormatPr defaultRowHeight="15" x14ac:dyDescent="0.25"/>
  <cols>
    <col min="1" max="1" width="24.85546875" customWidth="1"/>
    <col min="2" max="2" width="9.85546875" customWidth="1"/>
    <col min="3" max="3" width="8.85546875" customWidth="1"/>
    <col min="4" max="4" width="8.42578125" customWidth="1"/>
    <col min="5" max="5" width="12.28515625" bestFit="1" customWidth="1"/>
  </cols>
  <sheetData>
    <row r="1" spans="1:1" ht="15.75" x14ac:dyDescent="0.25">
      <c r="A1" s="52" t="s">
        <v>41</v>
      </c>
    </row>
    <row r="22" spans="1:5" x14ac:dyDescent="0.25">
      <c r="A22" s="60" t="s">
        <v>47</v>
      </c>
    </row>
    <row r="25" spans="1:5" x14ac:dyDescent="0.25">
      <c r="A25" s="4" t="s">
        <v>135</v>
      </c>
    </row>
    <row r="26" spans="1:5" ht="38.25" x14ac:dyDescent="0.25">
      <c r="A26" s="102"/>
      <c r="B26" s="103" t="s">
        <v>3</v>
      </c>
      <c r="C26" s="104" t="s">
        <v>2</v>
      </c>
      <c r="D26" s="104" t="s">
        <v>133</v>
      </c>
      <c r="E26" s="104" t="s">
        <v>132</v>
      </c>
    </row>
    <row r="27" spans="1:5" x14ac:dyDescent="0.25">
      <c r="A27" s="4" t="s">
        <v>1</v>
      </c>
      <c r="B27" s="13">
        <v>0.3</v>
      </c>
      <c r="C27" s="12" t="s">
        <v>0</v>
      </c>
      <c r="D27" s="11">
        <f>(D28-$C28)*100</f>
        <v>1.8475173009455115E-2</v>
      </c>
      <c r="E27" s="11">
        <f>(E28-$C28)*100</f>
        <v>-8.4695742319773615E-2</v>
      </c>
    </row>
    <row r="28" spans="1:5" x14ac:dyDescent="0.25">
      <c r="A28" s="30" t="s">
        <v>134</v>
      </c>
      <c r="B28" s="31"/>
      <c r="C28" s="99">
        <v>0.13786000000000001</v>
      </c>
      <c r="D28" s="100">
        <v>0.13804475173009456</v>
      </c>
      <c r="E28" s="101">
        <v>0.13701304257680227</v>
      </c>
    </row>
    <row r="29" spans="1:5" x14ac:dyDescent="0.25">
      <c r="A29" s="8"/>
      <c r="B29" s="9"/>
      <c r="D29" s="9"/>
      <c r="E29" s="8"/>
    </row>
    <row r="30" spans="1:5" x14ac:dyDescent="0.25">
      <c r="A30" s="108" t="s">
        <v>149</v>
      </c>
      <c r="B30" s="13"/>
      <c r="C30" s="13"/>
      <c r="D30" s="13"/>
      <c r="E30" s="98"/>
    </row>
    <row r="31" spans="1:5" x14ac:dyDescent="0.25">
      <c r="A31" s="4" t="s">
        <v>138</v>
      </c>
      <c r="B31" s="13"/>
      <c r="C31" s="13"/>
      <c r="D31" s="13"/>
      <c r="E31" s="98"/>
    </row>
    <row r="32" spans="1:5" x14ac:dyDescent="0.25">
      <c r="A32" s="4" t="s">
        <v>139</v>
      </c>
      <c r="B32" s="13"/>
      <c r="C32" s="13"/>
      <c r="D32" s="13"/>
      <c r="E32" s="98"/>
    </row>
    <row r="33" spans="1:7" x14ac:dyDescent="0.25">
      <c r="C33" s="13"/>
      <c r="D33" s="13"/>
      <c r="E33" s="98"/>
    </row>
    <row r="35" spans="1:7" x14ac:dyDescent="0.25">
      <c r="A35" s="4"/>
    </row>
    <row r="37" spans="1:7" x14ac:dyDescent="0.25">
      <c r="A37" s="3"/>
      <c r="F37" s="3"/>
    </row>
    <row r="38" spans="1:7" x14ac:dyDescent="0.25">
      <c r="A38" s="3"/>
      <c r="F38" s="3"/>
    </row>
    <row r="39" spans="1:7" x14ac:dyDescent="0.25">
      <c r="F39" s="3"/>
      <c r="G39" s="3"/>
    </row>
    <row r="40" spans="1:7" x14ac:dyDescent="0.25">
      <c r="G4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FA9A-8878-4D22-ABB3-8EBF4F907E5F}">
  <dimension ref="A1:T106"/>
  <sheetViews>
    <sheetView zoomScale="70" zoomScaleNormal="70" workbookViewId="0">
      <selection activeCell="R19" sqref="R19"/>
    </sheetView>
  </sheetViews>
  <sheetFormatPr defaultRowHeight="15" x14ac:dyDescent="0.25"/>
  <cols>
    <col min="2" max="4" width="13.5703125" customWidth="1"/>
    <col min="5" max="5" width="6.42578125" customWidth="1"/>
    <col min="6" max="6" width="14.7109375" customWidth="1"/>
    <col min="7" max="7" width="14.28515625" customWidth="1"/>
    <col min="8" max="8" width="16.42578125" customWidth="1"/>
    <col min="13" max="13" width="9.85546875" customWidth="1"/>
  </cols>
  <sheetData>
    <row r="1" spans="1:1" ht="15.75" x14ac:dyDescent="0.25">
      <c r="A1" s="34" t="s">
        <v>42</v>
      </c>
    </row>
    <row r="28" spans="1:20" ht="70.5" customHeight="1" x14ac:dyDescent="0.25">
      <c r="A28" s="122" t="s">
        <v>43</v>
      </c>
      <c r="B28" s="122"/>
      <c r="C28" s="122"/>
      <c r="D28" s="122"/>
      <c r="E28" s="122"/>
      <c r="F28" s="122"/>
      <c r="G28" s="122"/>
      <c r="H28" s="122"/>
      <c r="I28" s="122"/>
    </row>
    <row r="29" spans="1:20" x14ac:dyDescent="0.25">
      <c r="A29" s="32"/>
    </row>
    <row r="31" spans="1:20" x14ac:dyDescent="0.25">
      <c r="A31" s="30" t="s">
        <v>36</v>
      </c>
      <c r="B31" s="31"/>
      <c r="C31" s="31"/>
      <c r="D31" s="31"/>
      <c r="E31" s="58"/>
    </row>
    <row r="32" spans="1:20" ht="45" x14ac:dyDescent="0.25">
      <c r="A32" s="30"/>
      <c r="B32" s="123" t="s">
        <v>35</v>
      </c>
      <c r="C32" s="123"/>
      <c r="D32" s="123"/>
      <c r="E32" s="55"/>
      <c r="F32" s="123" t="s">
        <v>32</v>
      </c>
      <c r="G32" s="123"/>
      <c r="H32" s="123"/>
      <c r="J32" s="44" t="s">
        <v>38</v>
      </c>
      <c r="K32" s="44" t="s">
        <v>31</v>
      </c>
      <c r="L32" s="44" t="s">
        <v>31</v>
      </c>
      <c r="M32" s="44" t="s">
        <v>31</v>
      </c>
      <c r="N32" s="44" t="s">
        <v>31</v>
      </c>
      <c r="O32" s="44" t="s">
        <v>30</v>
      </c>
      <c r="P32" s="39"/>
      <c r="R32" s="56" t="s">
        <v>29</v>
      </c>
      <c r="S32" s="39"/>
      <c r="T32" s="39"/>
    </row>
    <row r="33" spans="1:20" ht="75.75" customHeight="1" x14ac:dyDescent="0.25">
      <c r="A33" s="28"/>
      <c r="B33" s="29" t="s">
        <v>28</v>
      </c>
      <c r="C33" s="29" t="s">
        <v>27</v>
      </c>
      <c r="D33" s="29" t="s">
        <v>26</v>
      </c>
      <c r="E33" s="27"/>
      <c r="F33" s="43" t="s">
        <v>44</v>
      </c>
      <c r="G33" s="43" t="s">
        <v>45</v>
      </c>
      <c r="H33" s="43" t="s">
        <v>19</v>
      </c>
      <c r="I33" s="25"/>
      <c r="J33" s="42" t="s">
        <v>18</v>
      </c>
      <c r="K33" s="42" t="s">
        <v>17</v>
      </c>
      <c r="L33" s="42" t="s">
        <v>16</v>
      </c>
      <c r="M33" s="42" t="s">
        <v>15</v>
      </c>
      <c r="N33" s="42" t="s">
        <v>14</v>
      </c>
      <c r="O33" s="42" t="s">
        <v>14</v>
      </c>
      <c r="P33" s="41" t="s">
        <v>13</v>
      </c>
      <c r="R33" s="59" t="s">
        <v>12</v>
      </c>
      <c r="S33" s="59" t="s">
        <v>11</v>
      </c>
      <c r="T33" s="41" t="s">
        <v>10</v>
      </c>
    </row>
    <row r="34" spans="1:20" x14ac:dyDescent="0.25">
      <c r="A34" s="13">
        <v>1960</v>
      </c>
      <c r="B34" s="16">
        <v>0.10312642343998446</v>
      </c>
      <c r="C34" s="16">
        <v>9.8402002656028387E-2</v>
      </c>
      <c r="D34" s="16">
        <v>8.112473906913123E-2</v>
      </c>
      <c r="E34" s="16"/>
      <c r="I34" s="22"/>
      <c r="J34" s="24"/>
      <c r="R34" s="57">
        <v>8.3565900921357628</v>
      </c>
      <c r="S34" s="57">
        <v>10.034579956956321</v>
      </c>
      <c r="T34" s="57">
        <f t="shared" ref="T34:T65" si="0">R34/S34</f>
        <v>0.83277926210978892</v>
      </c>
    </row>
    <row r="35" spans="1:20" x14ac:dyDescent="0.25">
      <c r="A35" s="13">
        <f t="shared" ref="A35:A66" si="1">A34+1</f>
        <v>1961</v>
      </c>
      <c r="B35" s="16">
        <v>0.10749726112148456</v>
      </c>
      <c r="C35" s="16">
        <v>0.10262462168233416</v>
      </c>
      <c r="D35" s="16">
        <v>8.3923520278001706E-2</v>
      </c>
      <c r="E35" s="16"/>
      <c r="I35" s="22"/>
      <c r="J35" s="24"/>
      <c r="R35" s="57">
        <v>8.3376005383909941</v>
      </c>
      <c r="S35" s="57">
        <v>10.640656153200087</v>
      </c>
      <c r="T35" s="57">
        <f t="shared" si="0"/>
        <v>0.78356075211428866</v>
      </c>
    </row>
    <row r="36" spans="1:20" x14ac:dyDescent="0.25">
      <c r="A36" s="13">
        <f t="shared" si="1"/>
        <v>1962</v>
      </c>
      <c r="B36" s="16">
        <v>0.11141746382081576</v>
      </c>
      <c r="C36" s="16">
        <v>0.10640107324611718</v>
      </c>
      <c r="D36" s="16">
        <v>8.6433747143398867E-2</v>
      </c>
      <c r="E36" s="16"/>
      <c r="I36" s="22"/>
      <c r="J36" s="24"/>
      <c r="R36" s="57">
        <v>8.2736755670745552</v>
      </c>
      <c r="S36" s="57">
        <v>9.9499062481040372</v>
      </c>
      <c r="T36" s="57">
        <f t="shared" si="0"/>
        <v>0.83153301757502596</v>
      </c>
    </row>
    <row r="37" spans="1:20" x14ac:dyDescent="0.25">
      <c r="A37" s="13">
        <f t="shared" si="1"/>
        <v>1963</v>
      </c>
      <c r="B37" s="16">
        <v>0.11350463527979342</v>
      </c>
      <c r="C37" s="16">
        <v>0.10847068017369083</v>
      </c>
      <c r="D37" s="16">
        <v>8.7974567288096148E-2</v>
      </c>
      <c r="E37" s="16"/>
      <c r="I37" s="22"/>
      <c r="J37" s="24"/>
      <c r="R37" s="57">
        <v>8.1639366576136148</v>
      </c>
      <c r="S37" s="57">
        <v>9.9165102959435298</v>
      </c>
      <c r="T37" s="57">
        <f t="shared" si="0"/>
        <v>0.82326709840186152</v>
      </c>
    </row>
    <row r="38" spans="1:20" x14ac:dyDescent="0.25">
      <c r="A38" s="13">
        <f t="shared" si="1"/>
        <v>1964</v>
      </c>
      <c r="B38" s="16">
        <v>0.1153404952149556</v>
      </c>
      <c r="C38" s="16">
        <v>0.11029529483649957</v>
      </c>
      <c r="D38" s="16">
        <v>8.9329864698868444E-2</v>
      </c>
      <c r="E38" s="16"/>
      <c r="I38" s="22"/>
      <c r="J38" s="24"/>
      <c r="R38" s="57">
        <v>8.0207510462667724</v>
      </c>
      <c r="S38" s="57">
        <v>10.479103530661327</v>
      </c>
      <c r="T38" s="57">
        <f t="shared" si="0"/>
        <v>0.76540431371810203</v>
      </c>
    </row>
    <row r="39" spans="1:20" x14ac:dyDescent="0.25">
      <c r="A39" s="13">
        <f t="shared" si="1"/>
        <v>1965</v>
      </c>
      <c r="B39" s="16">
        <v>0.11502269803920959</v>
      </c>
      <c r="C39" s="16">
        <v>0.11020257034877254</v>
      </c>
      <c r="D39" s="16">
        <v>9.0135755793146352E-2</v>
      </c>
      <c r="E39" s="16"/>
      <c r="I39" s="22"/>
      <c r="J39" s="24"/>
      <c r="R39" s="57">
        <v>8.065064694401487</v>
      </c>
      <c r="S39" s="57">
        <v>10.891912753229198</v>
      </c>
      <c r="T39" s="57">
        <f t="shared" si="0"/>
        <v>0.74046357853999367</v>
      </c>
    </row>
    <row r="40" spans="1:20" x14ac:dyDescent="0.25">
      <c r="A40" s="13">
        <f t="shared" si="1"/>
        <v>1966</v>
      </c>
      <c r="B40" s="16">
        <v>0.11475404890168528</v>
      </c>
      <c r="C40" s="16">
        <v>0.11012419999294031</v>
      </c>
      <c r="D40" s="16">
        <v>9.0817013249089307E-2</v>
      </c>
      <c r="E40" s="16"/>
      <c r="I40" s="22"/>
      <c r="J40" s="24"/>
      <c r="R40" s="57">
        <v>8.3681843007293182</v>
      </c>
      <c r="S40" s="57">
        <v>10.175256812339699</v>
      </c>
      <c r="T40" s="57">
        <f t="shared" si="0"/>
        <v>0.82240521837061509</v>
      </c>
    </row>
    <row r="41" spans="1:20" x14ac:dyDescent="0.25">
      <c r="A41" s="13">
        <f t="shared" si="1"/>
        <v>1967</v>
      </c>
      <c r="B41" s="16">
        <v>0.11271008021809324</v>
      </c>
      <c r="C41" s="16">
        <v>0.10735358357363817</v>
      </c>
      <c r="D41" s="16">
        <v>8.4951888504291473E-2</v>
      </c>
      <c r="E41" s="16"/>
      <c r="I41" s="23"/>
      <c r="J41" s="24"/>
      <c r="R41" s="57">
        <v>8.4253319526665713</v>
      </c>
      <c r="S41" s="57">
        <v>10.737541914934186</v>
      </c>
      <c r="T41" s="57">
        <f t="shared" si="0"/>
        <v>0.78466114678894028</v>
      </c>
    </row>
    <row r="42" spans="1:20" x14ac:dyDescent="0.25">
      <c r="A42" s="13">
        <f t="shared" si="1"/>
        <v>1968</v>
      </c>
      <c r="B42" s="16">
        <v>0.11122507421643339</v>
      </c>
      <c r="C42" s="16">
        <v>0.10556495827607544</v>
      </c>
      <c r="D42" s="16">
        <v>8.2120399902010796E-2</v>
      </c>
      <c r="E42" s="16"/>
      <c r="I42" s="23"/>
      <c r="J42" s="24"/>
      <c r="R42" s="57">
        <v>8.3519414859066643</v>
      </c>
      <c r="S42" s="57">
        <v>11.212838574441928</v>
      </c>
      <c r="T42" s="57">
        <f t="shared" si="0"/>
        <v>0.74485523272793097</v>
      </c>
    </row>
    <row r="43" spans="1:20" x14ac:dyDescent="0.25">
      <c r="A43" s="13">
        <f t="shared" si="1"/>
        <v>1969</v>
      </c>
      <c r="B43" s="16">
        <v>0.10086905698208237</v>
      </c>
      <c r="C43" s="16">
        <v>9.5709500504590081E-2</v>
      </c>
      <c r="D43" s="16">
        <v>7.5819384000167411E-2</v>
      </c>
      <c r="E43" s="16"/>
      <c r="I43" s="23"/>
      <c r="J43" s="24"/>
      <c r="R43" s="57">
        <v>8.0174220214230285</v>
      </c>
      <c r="S43" s="57">
        <v>10.351497284479398</v>
      </c>
      <c r="T43" s="57">
        <f t="shared" si="0"/>
        <v>0.77451810120686748</v>
      </c>
    </row>
    <row r="44" spans="1:20" x14ac:dyDescent="0.25">
      <c r="A44" s="13">
        <f t="shared" si="1"/>
        <v>1970</v>
      </c>
      <c r="B44" s="16">
        <v>9.2774149218298962E-2</v>
      </c>
      <c r="C44" s="16">
        <v>8.7261982630783205E-2</v>
      </c>
      <c r="D44" s="16">
        <v>6.7926967445109898E-2</v>
      </c>
      <c r="E44" s="16"/>
      <c r="I44" s="23"/>
      <c r="J44" s="24"/>
      <c r="R44" s="57">
        <v>7.8038458864426294</v>
      </c>
      <c r="S44" s="57">
        <v>9.0252864935986619</v>
      </c>
      <c r="T44" s="57">
        <f t="shared" si="0"/>
        <v>0.86466461668309813</v>
      </c>
    </row>
    <row r="45" spans="1:20" x14ac:dyDescent="0.25">
      <c r="A45" s="13">
        <f t="shared" si="1"/>
        <v>1971</v>
      </c>
      <c r="B45" s="16">
        <v>9.5586815829986252E-2</v>
      </c>
      <c r="C45" s="16">
        <v>8.9228122670852894E-2</v>
      </c>
      <c r="D45" s="16">
        <v>7.0228140947637741E-2</v>
      </c>
      <c r="E45" s="16"/>
      <c r="I45" s="23"/>
      <c r="J45" s="24"/>
      <c r="R45" s="57">
        <v>7.7860816660916825</v>
      </c>
      <c r="S45" s="57">
        <v>9.399056116893755</v>
      </c>
      <c r="T45" s="57">
        <f t="shared" si="0"/>
        <v>0.82838974140148702</v>
      </c>
    </row>
    <row r="46" spans="1:20" x14ac:dyDescent="0.25">
      <c r="A46" s="13">
        <f t="shared" si="1"/>
        <v>1972</v>
      </c>
      <c r="B46" s="16">
        <v>9.6902700837127417E-2</v>
      </c>
      <c r="C46" s="16">
        <v>9.0495289936202733E-2</v>
      </c>
      <c r="D46" s="16">
        <v>7.1554508239583023E-2</v>
      </c>
      <c r="E46" s="16"/>
      <c r="I46" s="23"/>
      <c r="J46" s="24"/>
      <c r="R46" s="57">
        <v>7.7541268798518805</v>
      </c>
      <c r="S46" s="57">
        <v>9.6377083451862653</v>
      </c>
      <c r="T46" s="57">
        <f t="shared" si="0"/>
        <v>0.80456127142764444</v>
      </c>
    </row>
    <row r="47" spans="1:20" x14ac:dyDescent="0.25">
      <c r="A47" s="13">
        <f t="shared" si="1"/>
        <v>1973</v>
      </c>
      <c r="B47" s="16">
        <v>9.5274756702436306E-2</v>
      </c>
      <c r="C47" s="16">
        <v>8.8853700265182398E-2</v>
      </c>
      <c r="D47" s="16">
        <v>7.4026436485476244E-2</v>
      </c>
      <c r="E47" s="16"/>
      <c r="I47" s="23"/>
      <c r="J47" s="24"/>
      <c r="R47" s="57">
        <v>7.7419961675539462</v>
      </c>
      <c r="S47" s="57">
        <v>9.1624623453135765</v>
      </c>
      <c r="T47" s="57">
        <f t="shared" si="0"/>
        <v>0.84496894784116938</v>
      </c>
    </row>
    <row r="48" spans="1:20" x14ac:dyDescent="0.25">
      <c r="A48" s="13">
        <f t="shared" si="1"/>
        <v>1974</v>
      </c>
      <c r="B48" s="16">
        <v>9.1502578968887083E-2</v>
      </c>
      <c r="C48" s="16">
        <v>8.4701355193251046E-2</v>
      </c>
      <c r="D48" s="16">
        <v>7.0060190815263157E-2</v>
      </c>
      <c r="E48" s="16"/>
      <c r="I48" s="23"/>
      <c r="J48" s="24"/>
      <c r="R48" s="57">
        <v>8.123618917085782</v>
      </c>
      <c r="S48" s="57">
        <v>9.1224292172255339</v>
      </c>
      <c r="T48" s="57">
        <f t="shared" si="0"/>
        <v>0.89051049053318643</v>
      </c>
    </row>
    <row r="49" spans="1:20" x14ac:dyDescent="0.25">
      <c r="A49" s="13">
        <f t="shared" si="1"/>
        <v>1975</v>
      </c>
      <c r="B49" s="16">
        <v>9.2705446977149109E-2</v>
      </c>
      <c r="C49" s="16">
        <v>8.4554428162246245E-2</v>
      </c>
      <c r="D49" s="16">
        <v>6.9491031733805622E-2</v>
      </c>
      <c r="E49" s="16"/>
      <c r="I49" s="23"/>
      <c r="J49" s="24"/>
      <c r="R49" s="57">
        <v>8.0058801501615697</v>
      </c>
      <c r="S49" s="57">
        <v>8.872672603452564</v>
      </c>
      <c r="T49" s="57">
        <f t="shared" si="0"/>
        <v>0.90230762566921441</v>
      </c>
    </row>
    <row r="50" spans="1:20" x14ac:dyDescent="0.25">
      <c r="A50" s="13">
        <f t="shared" si="1"/>
        <v>1976</v>
      </c>
      <c r="B50" s="16">
        <v>9.3643030909225503E-2</v>
      </c>
      <c r="C50" s="16">
        <v>8.5622430549537581E-2</v>
      </c>
      <c r="D50" s="16">
        <v>7.0610459301339357E-2</v>
      </c>
      <c r="E50" s="16"/>
      <c r="I50" s="23"/>
      <c r="J50" s="24"/>
      <c r="R50" s="57">
        <v>7.8891961987813497</v>
      </c>
      <c r="S50" s="57">
        <v>8.860885138806907</v>
      </c>
      <c r="T50" s="57">
        <f t="shared" si="0"/>
        <v>0.89033951746310613</v>
      </c>
    </row>
    <row r="51" spans="1:20" x14ac:dyDescent="0.25">
      <c r="A51" s="13">
        <f t="shared" si="1"/>
        <v>1977</v>
      </c>
      <c r="B51" s="16">
        <v>9.3288610010785034E-2</v>
      </c>
      <c r="C51" s="16">
        <v>8.5782218945034586E-2</v>
      </c>
      <c r="D51" s="16">
        <v>7.2389511489337879E-2</v>
      </c>
      <c r="E51" s="16"/>
      <c r="I51" s="23"/>
      <c r="J51" s="24"/>
      <c r="R51" s="57">
        <v>7.8992263574060786</v>
      </c>
      <c r="S51" s="57">
        <v>9.0251178846532945</v>
      </c>
      <c r="T51" s="57">
        <f t="shared" si="0"/>
        <v>0.87524910570290382</v>
      </c>
    </row>
    <row r="52" spans="1:20" x14ac:dyDescent="0.25">
      <c r="A52" s="13">
        <f t="shared" si="1"/>
        <v>1978</v>
      </c>
      <c r="B52" s="16">
        <v>9.282576570921168E-2</v>
      </c>
      <c r="C52" s="16">
        <v>8.55858389676524E-2</v>
      </c>
      <c r="D52" s="16">
        <v>7.3580881118841049E-2</v>
      </c>
      <c r="E52" s="16"/>
      <c r="I52" s="23"/>
      <c r="J52" s="24"/>
      <c r="R52" s="57">
        <v>7.9526089866496275</v>
      </c>
      <c r="S52" s="57">
        <v>8.9505213117986688</v>
      </c>
      <c r="T52" s="57">
        <f t="shared" si="0"/>
        <v>0.88850791027852383</v>
      </c>
    </row>
    <row r="53" spans="1:20" x14ac:dyDescent="0.25">
      <c r="A53" s="13">
        <f t="shared" si="1"/>
        <v>1979</v>
      </c>
      <c r="B53" s="16">
        <v>9.4070924937761549E-2</v>
      </c>
      <c r="C53" s="16">
        <v>8.6889461218314076E-2</v>
      </c>
      <c r="D53" s="16">
        <v>7.3669326322619175E-2</v>
      </c>
      <c r="E53" s="16"/>
      <c r="F53" s="16">
        <f>J53/100+P53</f>
        <v>7.1987340582207876E-2</v>
      </c>
      <c r="G53" s="16">
        <f>J53/100*T53</f>
        <v>7.2598792225417805E-2</v>
      </c>
      <c r="H53" s="16">
        <f>AVERAGE(J51:J55)/100</f>
        <v>0.09</v>
      </c>
      <c r="I53" s="23"/>
      <c r="J53" s="47">
        <v>9</v>
      </c>
      <c r="K53" s="48">
        <v>144500</v>
      </c>
      <c r="L53" s="48">
        <v>2600</v>
      </c>
      <c r="M53" s="48">
        <v>601800</v>
      </c>
      <c r="N53" s="48">
        <v>70500</v>
      </c>
      <c r="O53" s="47">
        <v>81.099999999999994</v>
      </c>
      <c r="P53" s="49">
        <f t="shared" ref="P53:P93" si="2">(M53-K53)*O53*0.01/((N53-L53)*O53)-(M53)*O53*0.01/(N53*O53)</f>
        <v>-1.8012659417792121E-2</v>
      </c>
      <c r="R53" s="57">
        <v>8.0324098037332945</v>
      </c>
      <c r="S53" s="57">
        <v>9.9576984709518843</v>
      </c>
      <c r="T53" s="57">
        <f t="shared" si="0"/>
        <v>0.8066532469490868</v>
      </c>
    </row>
    <row r="54" spans="1:20" x14ac:dyDescent="0.25">
      <c r="A54" s="13">
        <f t="shared" si="1"/>
        <v>1980</v>
      </c>
      <c r="B54" s="16">
        <v>9.2002961738561317E-2</v>
      </c>
      <c r="C54" s="16">
        <v>8.4210758788976325E-2</v>
      </c>
      <c r="D54" s="16">
        <v>6.9783930450813964E-2</v>
      </c>
      <c r="E54" s="16"/>
      <c r="F54" s="16">
        <f t="shared" ref="F54:F93" si="3">J54/100+P54</f>
        <v>7.3465774875918988E-2</v>
      </c>
      <c r="G54" s="16">
        <f t="shared" ref="G54:G93" si="4">J54/100*T54</f>
        <v>7.3436039053799945E-2</v>
      </c>
      <c r="H54" s="16">
        <f t="shared" ref="H54:H93" si="5">AVERAGE(J52:J56)/100</f>
        <v>9.1249999999999998E-2</v>
      </c>
      <c r="I54" s="23"/>
      <c r="J54" s="47">
        <v>9</v>
      </c>
      <c r="K54" s="48">
        <v>128700</v>
      </c>
      <c r="L54" s="48">
        <v>2300</v>
      </c>
      <c r="M54" s="48">
        <v>577200</v>
      </c>
      <c r="N54" s="48">
        <v>68400</v>
      </c>
      <c r="O54" s="47">
        <v>82.6</v>
      </c>
      <c r="P54" s="49">
        <f t="shared" si="2"/>
        <v>-1.6534225124081009E-2</v>
      </c>
      <c r="R54" s="57">
        <v>8.1767146253680529</v>
      </c>
      <c r="S54" s="57">
        <v>10.021024087968501</v>
      </c>
      <c r="T54" s="57">
        <f t="shared" si="0"/>
        <v>0.81595598948666603</v>
      </c>
    </row>
    <row r="55" spans="1:20" x14ac:dyDescent="0.25">
      <c r="A55" s="13">
        <f t="shared" si="1"/>
        <v>1981</v>
      </c>
      <c r="B55" s="16">
        <v>8.8426428447948471E-2</v>
      </c>
      <c r="C55" s="16">
        <v>8.0974073906303026E-2</v>
      </c>
      <c r="D55" s="16">
        <v>6.9204624185961877E-2</v>
      </c>
      <c r="E55" s="16"/>
      <c r="F55" s="16">
        <f t="shared" si="3"/>
        <v>7.2842674371518312E-2</v>
      </c>
      <c r="G55" s="16">
        <f t="shared" si="4"/>
        <v>7.2111910779712921E-2</v>
      </c>
      <c r="H55" s="16">
        <f t="shared" si="5"/>
        <v>9.3399999999999997E-2</v>
      </c>
      <c r="I55" s="23"/>
      <c r="J55" s="47">
        <v>9</v>
      </c>
      <c r="K55" s="48">
        <v>132500</v>
      </c>
      <c r="L55" s="48">
        <v>2200</v>
      </c>
      <c r="M55" s="48">
        <v>574700</v>
      </c>
      <c r="N55" s="48">
        <v>68700</v>
      </c>
      <c r="O55" s="47">
        <v>83.8</v>
      </c>
      <c r="P55" s="49">
        <f t="shared" si="2"/>
        <v>-1.7157325628481684E-2</v>
      </c>
      <c r="R55" s="57">
        <v>8.026075546927979</v>
      </c>
      <c r="S55" s="57">
        <v>10.017024807873129</v>
      </c>
      <c r="T55" s="57">
        <f t="shared" si="0"/>
        <v>0.80124345310792133</v>
      </c>
    </row>
    <row r="56" spans="1:20" x14ac:dyDescent="0.25">
      <c r="A56" s="13">
        <f t="shared" si="1"/>
        <v>1982</v>
      </c>
      <c r="B56" s="16">
        <v>9.0614387946887795E-2</v>
      </c>
      <c r="C56" s="16">
        <v>8.2507979051613861E-2</v>
      </c>
      <c r="D56" s="16">
        <v>6.8658971291965035E-2</v>
      </c>
      <c r="E56" s="16"/>
      <c r="F56" s="16">
        <f t="shared" si="3"/>
        <v>7.5258826001681142E-2</v>
      </c>
      <c r="G56" s="16">
        <f t="shared" si="4"/>
        <v>7.382911316807865E-2</v>
      </c>
      <c r="H56" s="16">
        <f t="shared" si="5"/>
        <v>9.6800000000000011E-2</v>
      </c>
      <c r="I56" s="23"/>
      <c r="J56" s="47">
        <v>9.5</v>
      </c>
      <c r="K56" s="48">
        <v>152200</v>
      </c>
      <c r="L56" s="48">
        <v>2400</v>
      </c>
      <c r="M56" s="48">
        <v>605400</v>
      </c>
      <c r="N56" s="48">
        <v>68800</v>
      </c>
      <c r="O56" s="47">
        <v>84.3</v>
      </c>
      <c r="P56" s="49">
        <f t="shared" si="2"/>
        <v>-1.9741173998318859E-2</v>
      </c>
      <c r="R56" s="57">
        <v>8.3899380716959886</v>
      </c>
      <c r="S56" s="57">
        <v>10.795796977766425</v>
      </c>
      <c r="T56" s="57">
        <f t="shared" si="0"/>
        <v>0.77714855966398577</v>
      </c>
    </row>
    <row r="57" spans="1:20" x14ac:dyDescent="0.25">
      <c r="A57" s="13">
        <f t="shared" si="1"/>
        <v>1983</v>
      </c>
      <c r="B57" s="16">
        <v>9.4112644594859865E-2</v>
      </c>
      <c r="C57" s="16">
        <v>8.58187943491069E-2</v>
      </c>
      <c r="D57" s="16">
        <v>7.1368813669287934E-2</v>
      </c>
      <c r="E57" s="16"/>
      <c r="F57" s="16">
        <f t="shared" si="3"/>
        <v>7.7665149677694167E-2</v>
      </c>
      <c r="G57" s="16">
        <f t="shared" si="4"/>
        <v>7.58510401194777E-2</v>
      </c>
      <c r="H57" s="16">
        <f t="shared" si="5"/>
        <v>0.1014</v>
      </c>
      <c r="I57" s="23"/>
      <c r="J57" s="47">
        <v>10.199999999999999</v>
      </c>
      <c r="K57" s="48">
        <v>191000</v>
      </c>
      <c r="L57" s="48">
        <v>3100</v>
      </c>
      <c r="M57" s="48">
        <v>664000</v>
      </c>
      <c r="N57" s="48">
        <v>69400</v>
      </c>
      <c r="O57" s="47">
        <v>85.8</v>
      </c>
      <c r="P57" s="49">
        <f t="shared" si="2"/>
        <v>-2.4334850322305826E-2</v>
      </c>
      <c r="R57" s="57">
        <v>8.5929026489475131</v>
      </c>
      <c r="S57" s="57">
        <v>11.555228099865923</v>
      </c>
      <c r="T57" s="57">
        <f t="shared" si="0"/>
        <v>0.74363764823017364</v>
      </c>
    </row>
    <row r="58" spans="1:20" x14ac:dyDescent="0.25">
      <c r="A58" s="13">
        <f t="shared" si="1"/>
        <v>1984</v>
      </c>
      <c r="B58" s="16">
        <v>9.5901991841306072E-2</v>
      </c>
      <c r="C58" s="16">
        <v>8.7958768949656638E-2</v>
      </c>
      <c r="D58" s="16">
        <v>7.5165170020170674E-2</v>
      </c>
      <c r="E58" s="16"/>
      <c r="F58" s="16">
        <f t="shared" si="3"/>
        <v>8.1335223716994406E-2</v>
      </c>
      <c r="G58" s="16">
        <f t="shared" si="4"/>
        <v>7.930721083414477E-2</v>
      </c>
      <c r="H58" s="16">
        <f t="shared" si="5"/>
        <v>0.111</v>
      </c>
      <c r="I58" s="23"/>
      <c r="J58" s="47">
        <v>10.7</v>
      </c>
      <c r="K58" s="48">
        <v>213000</v>
      </c>
      <c r="L58" s="48">
        <v>3300</v>
      </c>
      <c r="M58" s="48">
        <v>736000</v>
      </c>
      <c r="N58" s="48">
        <v>73400</v>
      </c>
      <c r="O58" s="47">
        <v>87.2</v>
      </c>
      <c r="P58" s="49">
        <f t="shared" si="2"/>
        <v>-2.5664776283005591E-2</v>
      </c>
      <c r="R58" s="57">
        <v>8.8863707222620985</v>
      </c>
      <c r="S58" s="57">
        <v>11.989346962037795</v>
      </c>
      <c r="T58" s="57">
        <f t="shared" si="0"/>
        <v>0.74118888630041846</v>
      </c>
    </row>
    <row r="59" spans="1:20" x14ac:dyDescent="0.25">
      <c r="A59" s="13">
        <f t="shared" si="1"/>
        <v>1985</v>
      </c>
      <c r="B59" s="16">
        <v>9.7255231594784455E-2</v>
      </c>
      <c r="C59" s="16">
        <v>8.9444649530832462E-2</v>
      </c>
      <c r="D59" s="16">
        <v>7.5611776599280658E-2</v>
      </c>
      <c r="E59" s="16"/>
      <c r="F59" s="16">
        <f t="shared" si="3"/>
        <v>8.3472498431469477E-2</v>
      </c>
      <c r="G59" s="16">
        <f t="shared" si="4"/>
        <v>8.1118352301314381E-2</v>
      </c>
      <c r="H59" s="16">
        <f t="shared" si="5"/>
        <v>0.1142</v>
      </c>
      <c r="I59" s="23"/>
      <c r="J59" s="47">
        <v>11.3</v>
      </c>
      <c r="K59" s="48">
        <v>249600</v>
      </c>
      <c r="L59" s="48">
        <v>3900</v>
      </c>
      <c r="M59" s="48">
        <v>785800</v>
      </c>
      <c r="N59" s="48">
        <v>74500</v>
      </c>
      <c r="O59" s="47">
        <v>88.8</v>
      </c>
      <c r="P59" s="49">
        <f t="shared" si="2"/>
        <v>-2.9527501568530526E-2</v>
      </c>
      <c r="R59" s="57">
        <v>9.0945605795137041</v>
      </c>
      <c r="S59" s="57">
        <v>12.668962279555531</v>
      </c>
      <c r="T59" s="57">
        <f t="shared" si="0"/>
        <v>0.71786152479039278</v>
      </c>
    </row>
    <row r="60" spans="1:20" x14ac:dyDescent="0.25">
      <c r="A60" s="13">
        <f t="shared" si="1"/>
        <v>1986</v>
      </c>
      <c r="B60" s="16">
        <v>9.7148627151826886E-2</v>
      </c>
      <c r="C60" s="16">
        <v>8.808164806909935E-2</v>
      </c>
      <c r="D60" s="16">
        <v>7.2506405955297809E-2</v>
      </c>
      <c r="E60" s="16"/>
      <c r="F60" s="16">
        <f t="shared" si="3"/>
        <v>8.2560057907264867E-2</v>
      </c>
      <c r="G60" s="16">
        <f t="shared" si="4"/>
        <v>7.9150511429204609E-2</v>
      </c>
      <c r="H60" s="16">
        <f t="shared" si="5"/>
        <v>0.1202</v>
      </c>
      <c r="I60" s="23"/>
      <c r="J60" s="47">
        <v>13.8</v>
      </c>
      <c r="K60" s="48">
        <v>495900</v>
      </c>
      <c r="L60" s="48">
        <v>7400</v>
      </c>
      <c r="M60" s="48">
        <v>1028600</v>
      </c>
      <c r="N60" s="48">
        <v>79600</v>
      </c>
      <c r="O60" s="47">
        <v>89.9</v>
      </c>
      <c r="P60" s="49">
        <f t="shared" si="2"/>
        <v>-5.5439942092735145E-2</v>
      </c>
      <c r="R60" s="57">
        <v>9.1292990690663967</v>
      </c>
      <c r="S60" s="57">
        <v>15.917057878495417</v>
      </c>
      <c r="T60" s="57">
        <f t="shared" si="0"/>
        <v>0.57355443064641021</v>
      </c>
    </row>
    <row r="61" spans="1:20" x14ac:dyDescent="0.25">
      <c r="A61" s="13">
        <f t="shared" si="1"/>
        <v>1987</v>
      </c>
      <c r="B61" s="16">
        <v>9.6692932756861874E-2</v>
      </c>
      <c r="C61" s="16">
        <v>8.844367388087504E-2</v>
      </c>
      <c r="D61" s="16">
        <v>7.2744034204307306E-2</v>
      </c>
      <c r="E61" s="16"/>
      <c r="F61" s="16">
        <f t="shared" si="3"/>
        <v>9.1727799227799237E-2</v>
      </c>
      <c r="G61" s="16">
        <f t="shared" si="4"/>
        <v>9.4204754650387065E-2</v>
      </c>
      <c r="H61" s="16">
        <f t="shared" si="5"/>
        <v>0.1234</v>
      </c>
      <c r="I61" s="23"/>
      <c r="J61" s="47">
        <v>11.1</v>
      </c>
      <c r="K61" s="48">
        <v>174800</v>
      </c>
      <c r="L61" s="48">
        <v>3000</v>
      </c>
      <c r="M61" s="48">
        <v>826100</v>
      </c>
      <c r="N61" s="48">
        <v>77000</v>
      </c>
      <c r="O61" s="47">
        <v>91.4</v>
      </c>
      <c r="P61" s="49">
        <f t="shared" si="2"/>
        <v>-1.9272200772200765E-2</v>
      </c>
      <c r="R61" s="57">
        <v>10.746260633305884</v>
      </c>
      <c r="S61" s="57">
        <v>12.662152082703312</v>
      </c>
      <c r="T61" s="57">
        <f t="shared" si="0"/>
        <v>0.84869148333682043</v>
      </c>
    </row>
    <row r="62" spans="1:20" x14ac:dyDescent="0.25">
      <c r="A62" s="13">
        <f t="shared" si="1"/>
        <v>1988</v>
      </c>
      <c r="B62" s="16">
        <v>0.11249268915084298</v>
      </c>
      <c r="C62" s="16">
        <v>0.10285573661478949</v>
      </c>
      <c r="D62" s="16">
        <v>8.7827444012893094E-2</v>
      </c>
      <c r="E62" s="16"/>
      <c r="F62" s="16">
        <f t="shared" si="3"/>
        <v>0.1094279654925676</v>
      </c>
      <c r="G62" s="16">
        <f t="shared" si="4"/>
        <v>0.11216713671744616</v>
      </c>
      <c r="H62" s="16">
        <f t="shared" si="5"/>
        <v>0.12479999999999998</v>
      </c>
      <c r="I62" s="23"/>
      <c r="J62" s="47">
        <v>13.2</v>
      </c>
      <c r="K62" s="48">
        <v>215200</v>
      </c>
      <c r="L62" s="48">
        <v>3200</v>
      </c>
      <c r="M62" s="48">
        <v>1033100</v>
      </c>
      <c r="N62" s="48">
        <v>80300</v>
      </c>
      <c r="O62" s="47">
        <v>93.1</v>
      </c>
      <c r="P62" s="49">
        <f t="shared" si="2"/>
        <v>-2.2572034507432406E-2</v>
      </c>
      <c r="R62" s="57">
        <v>13.165480795439365</v>
      </c>
      <c r="S62" s="57">
        <v>15.493338921325046</v>
      </c>
      <c r="T62" s="57">
        <f t="shared" si="0"/>
        <v>0.84975103573822841</v>
      </c>
    </row>
    <row r="63" spans="1:20" x14ac:dyDescent="0.25">
      <c r="A63" s="13">
        <f t="shared" si="1"/>
        <v>1989</v>
      </c>
      <c r="B63" s="16">
        <v>0.10803245685896695</v>
      </c>
      <c r="C63" s="16">
        <v>9.871910691393726E-2</v>
      </c>
      <c r="D63" s="16">
        <v>8.3828766193906515E-2</v>
      </c>
      <c r="E63" s="16"/>
      <c r="F63" s="16">
        <f t="shared" si="3"/>
        <v>0.10443070260171078</v>
      </c>
      <c r="G63" s="16">
        <f t="shared" si="4"/>
        <v>0.10708037285619286</v>
      </c>
      <c r="H63" s="16">
        <f t="shared" si="5"/>
        <v>0.11939999999999999</v>
      </c>
      <c r="I63" s="23"/>
      <c r="J63" s="47">
        <v>12.3</v>
      </c>
      <c r="K63" s="48">
        <v>179200</v>
      </c>
      <c r="L63" s="48">
        <v>2900</v>
      </c>
      <c r="M63" s="48">
        <v>962500</v>
      </c>
      <c r="N63" s="48">
        <v>80800</v>
      </c>
      <c r="O63" s="47">
        <v>93.6</v>
      </c>
      <c r="P63" s="49">
        <f t="shared" si="2"/>
        <v>-1.8569297398289233E-2</v>
      </c>
      <c r="R63" s="57">
        <v>12.611494478689435</v>
      </c>
      <c r="S63" s="57">
        <v>14.486443962630339</v>
      </c>
      <c r="T63" s="57">
        <f t="shared" si="0"/>
        <v>0.87057213704221825</v>
      </c>
    </row>
    <row r="64" spans="1:20" x14ac:dyDescent="0.25">
      <c r="A64" s="13">
        <f t="shared" si="1"/>
        <v>1990</v>
      </c>
      <c r="B64" s="16">
        <v>0.10766860304457467</v>
      </c>
      <c r="C64" s="16">
        <v>9.7924737132287124E-2</v>
      </c>
      <c r="D64" s="16">
        <v>8.2655323302563741E-2</v>
      </c>
      <c r="E64" s="16"/>
      <c r="F64" s="16">
        <f t="shared" si="3"/>
        <v>0.10582394540706429</v>
      </c>
      <c r="G64" s="16">
        <f t="shared" si="4"/>
        <v>0.10871156098907438</v>
      </c>
      <c r="H64" s="16">
        <f t="shared" si="5"/>
        <v>0.12140000000000001</v>
      </c>
      <c r="I64" s="23"/>
      <c r="J64" s="47">
        <v>12</v>
      </c>
      <c r="K64" s="48">
        <v>135300</v>
      </c>
      <c r="L64" s="48">
        <v>2100</v>
      </c>
      <c r="M64" s="48">
        <v>930400</v>
      </c>
      <c r="N64" s="48">
        <v>80400</v>
      </c>
      <c r="O64" s="47">
        <v>94.6</v>
      </c>
      <c r="P64" s="49">
        <f t="shared" si="2"/>
        <v>-1.4176054592935708E-2</v>
      </c>
      <c r="R64" s="57">
        <v>12.981647252493072</v>
      </c>
      <c r="S64" s="57">
        <v>14.329641264701635</v>
      </c>
      <c r="T64" s="57">
        <f t="shared" si="0"/>
        <v>0.90592967490895315</v>
      </c>
    </row>
    <row r="65" spans="1:20" x14ac:dyDescent="0.25">
      <c r="A65" s="13">
        <f t="shared" si="1"/>
        <v>1991</v>
      </c>
      <c r="B65" s="16">
        <v>0.1049527343746544</v>
      </c>
      <c r="C65" s="16">
        <v>9.4614871120100238E-2</v>
      </c>
      <c r="D65" s="16">
        <v>7.8047851001603039E-2</v>
      </c>
      <c r="E65" s="16"/>
      <c r="F65" s="16">
        <f t="shared" si="3"/>
        <v>9.9617593569121157E-2</v>
      </c>
      <c r="G65" s="16">
        <f t="shared" si="4"/>
        <v>0.10108602866844513</v>
      </c>
      <c r="H65" s="16">
        <f t="shared" si="5"/>
        <v>0.1186</v>
      </c>
      <c r="I65" s="23"/>
      <c r="J65" s="47">
        <v>11.1</v>
      </c>
      <c r="K65" s="48">
        <v>106500</v>
      </c>
      <c r="L65" s="48">
        <v>1800</v>
      </c>
      <c r="M65" s="48">
        <v>837200</v>
      </c>
      <c r="N65" s="48">
        <v>78500</v>
      </c>
      <c r="O65" s="47">
        <v>96</v>
      </c>
      <c r="P65" s="49">
        <f t="shared" si="2"/>
        <v>-1.1382406430878844E-2</v>
      </c>
      <c r="R65" s="57">
        <v>12.167379448376485</v>
      </c>
      <c r="S65" s="57">
        <v>13.360690261159549</v>
      </c>
      <c r="T65" s="57">
        <f t="shared" si="0"/>
        <v>0.91068494295896507</v>
      </c>
    </row>
    <row r="66" spans="1:20" x14ac:dyDescent="0.25">
      <c r="A66" s="13">
        <f t="shared" si="1"/>
        <v>1992</v>
      </c>
      <c r="B66" s="16">
        <v>0.11182670858236057</v>
      </c>
      <c r="C66" s="16">
        <v>0.10008714150138975</v>
      </c>
      <c r="D66" s="16">
        <v>8.1709820593008062E-2</v>
      </c>
      <c r="E66" s="16"/>
      <c r="F66" s="16">
        <f t="shared" si="3"/>
        <v>0.10844006465503633</v>
      </c>
      <c r="G66" s="16">
        <f t="shared" si="4"/>
        <v>0.11117623331526248</v>
      </c>
      <c r="H66" s="16">
        <f t="shared" si="5"/>
        <v>0.1176</v>
      </c>
      <c r="I66" s="23"/>
      <c r="J66" s="47">
        <v>12.1</v>
      </c>
      <c r="K66" s="48">
        <v>122200</v>
      </c>
      <c r="L66" s="48">
        <v>2000</v>
      </c>
      <c r="M66" s="48">
        <v>946200</v>
      </c>
      <c r="N66" s="48">
        <v>80600</v>
      </c>
      <c r="O66" s="47">
        <v>96.3</v>
      </c>
      <c r="P66" s="49">
        <f t="shared" si="2"/>
        <v>-1.2559935344963663E-2</v>
      </c>
      <c r="R66" s="57">
        <v>13.479744861469998</v>
      </c>
      <c r="S66" s="57">
        <v>14.670843575107488</v>
      </c>
      <c r="T66" s="57">
        <f t="shared" ref="T66:T93" si="6">R66/S66</f>
        <v>0.91881184558068174</v>
      </c>
    </row>
    <row r="67" spans="1:20" x14ac:dyDescent="0.25">
      <c r="A67" s="13">
        <f t="shared" ref="A67:A94" si="7">A66+1</f>
        <v>1993</v>
      </c>
      <c r="B67" s="16">
        <v>0.10563438276548648</v>
      </c>
      <c r="C67" s="16">
        <v>9.4330425139180926E-2</v>
      </c>
      <c r="D67" s="16">
        <v>7.3320915547812504E-2</v>
      </c>
      <c r="E67" s="16"/>
      <c r="F67" s="16">
        <f t="shared" si="3"/>
        <v>0.10363679308417248</v>
      </c>
      <c r="G67" s="16">
        <f t="shared" si="4"/>
        <v>0.10626669847957401</v>
      </c>
      <c r="H67" s="16">
        <f t="shared" si="5"/>
        <v>0.11819999999999999</v>
      </c>
      <c r="I67" s="23"/>
      <c r="J67" s="47">
        <v>11.8</v>
      </c>
      <c r="K67" s="48">
        <v>139700</v>
      </c>
      <c r="L67" s="48">
        <v>2400</v>
      </c>
      <c r="M67" s="48">
        <v>908400</v>
      </c>
      <c r="N67" s="48">
        <v>80900</v>
      </c>
      <c r="O67" s="47">
        <v>97.3</v>
      </c>
      <c r="P67" s="49">
        <f t="shared" si="2"/>
        <v>-1.4363206915827528E-2</v>
      </c>
      <c r="R67" s="57">
        <v>12.821259920178939</v>
      </c>
      <c r="S67" s="57">
        <v>14.23690292657316</v>
      </c>
      <c r="T67" s="57">
        <f t="shared" si="6"/>
        <v>0.90056524135232208</v>
      </c>
    </row>
    <row r="68" spans="1:20" x14ac:dyDescent="0.25">
      <c r="A68" s="13">
        <f t="shared" si="7"/>
        <v>1994</v>
      </c>
      <c r="B68" s="16">
        <v>0.10583792699219721</v>
      </c>
      <c r="C68" s="16">
        <v>9.4731319950496731E-2</v>
      </c>
      <c r="D68" s="16">
        <v>7.5361104843952323E-2</v>
      </c>
      <c r="E68" s="16"/>
      <c r="F68" s="16">
        <f t="shared" si="3"/>
        <v>0.10347358951884486</v>
      </c>
      <c r="G68" s="16">
        <f t="shared" si="4"/>
        <v>0.10655970105766931</v>
      </c>
      <c r="H68" s="16">
        <f t="shared" si="5"/>
        <v>0.1232</v>
      </c>
      <c r="I68" s="23"/>
      <c r="J68" s="47">
        <v>11.8</v>
      </c>
      <c r="K68" s="48">
        <v>141800</v>
      </c>
      <c r="L68" s="48">
        <v>2300</v>
      </c>
      <c r="M68" s="48">
        <v>935900</v>
      </c>
      <c r="N68" s="48">
        <v>81800</v>
      </c>
      <c r="O68" s="47">
        <v>99.1</v>
      </c>
      <c r="P68" s="49">
        <f t="shared" si="2"/>
        <v>-1.4526410481155147E-2</v>
      </c>
      <c r="R68" s="57">
        <v>12.852119853413258</v>
      </c>
      <c r="S68" s="57">
        <v>14.231929403424463</v>
      </c>
      <c r="T68" s="57">
        <f t="shared" si="6"/>
        <v>0.90304831404804486</v>
      </c>
    </row>
    <row r="69" spans="1:20" x14ac:dyDescent="0.25">
      <c r="A69" s="13">
        <f t="shared" si="7"/>
        <v>1995</v>
      </c>
      <c r="B69" s="16">
        <v>0.11120233705499301</v>
      </c>
      <c r="C69" s="16">
        <v>9.965564394007484E-2</v>
      </c>
      <c r="D69" s="16">
        <v>7.8795517985559629E-2</v>
      </c>
      <c r="E69" s="16"/>
      <c r="F69" s="16">
        <f t="shared" si="3"/>
        <v>0.10672729491979598</v>
      </c>
      <c r="G69" s="16">
        <f t="shared" si="4"/>
        <v>0.10922567940133912</v>
      </c>
      <c r="H69" s="16">
        <f t="shared" si="5"/>
        <v>0.12839999999999999</v>
      </c>
      <c r="I69" s="23"/>
      <c r="J69" s="47">
        <v>12.3</v>
      </c>
      <c r="K69" s="48">
        <v>167300</v>
      </c>
      <c r="L69" s="48">
        <v>2700</v>
      </c>
      <c r="M69" s="48">
        <v>1039000</v>
      </c>
      <c r="N69" s="48">
        <v>85300</v>
      </c>
      <c r="O69" s="47">
        <v>99.7</v>
      </c>
      <c r="P69" s="49">
        <f t="shared" si="2"/>
        <v>-1.6272705080204036E-2</v>
      </c>
      <c r="R69" s="57">
        <v>13.528</v>
      </c>
      <c r="S69" s="57">
        <v>15.234</v>
      </c>
      <c r="T69" s="57">
        <f t="shared" si="6"/>
        <v>0.88801365366942364</v>
      </c>
    </row>
    <row r="70" spans="1:20" x14ac:dyDescent="0.25">
      <c r="A70" s="13">
        <f t="shared" si="7"/>
        <v>1996</v>
      </c>
      <c r="B70" s="16">
        <v>0.11578063250363062</v>
      </c>
      <c r="C70" s="16">
        <v>0.10395518516182309</v>
      </c>
      <c r="D70" s="16">
        <v>8.0153001181659425E-2</v>
      </c>
      <c r="E70" s="16"/>
      <c r="F70" s="16">
        <f t="shared" si="3"/>
        <v>0.11332867668980791</v>
      </c>
      <c r="G70" s="16">
        <f t="shared" si="4"/>
        <v>0.11497285311919457</v>
      </c>
      <c r="H70" s="16">
        <f t="shared" si="5"/>
        <v>0.13580000000000003</v>
      </c>
      <c r="I70" s="23"/>
      <c r="J70" s="47">
        <v>13.6</v>
      </c>
      <c r="K70" s="48">
        <v>241700</v>
      </c>
      <c r="L70" s="48">
        <v>3800</v>
      </c>
      <c r="M70" s="48">
        <v>1152900</v>
      </c>
      <c r="N70" s="48">
        <v>88600</v>
      </c>
      <c r="O70" s="47">
        <v>101.1</v>
      </c>
      <c r="P70" s="49">
        <f t="shared" si="2"/>
        <v>-2.2671323310192101E-2</v>
      </c>
      <c r="R70" s="57">
        <v>14.106999999999999</v>
      </c>
      <c r="S70" s="57">
        <v>16.687000000000001</v>
      </c>
      <c r="T70" s="57">
        <f t="shared" si="6"/>
        <v>0.8453886258764306</v>
      </c>
    </row>
    <row r="71" spans="1:20" x14ac:dyDescent="0.25">
      <c r="A71" s="13">
        <f t="shared" si="7"/>
        <v>1997</v>
      </c>
      <c r="B71" s="16">
        <v>0.12152306304405473</v>
      </c>
      <c r="C71" s="16">
        <v>0.10954199744522732</v>
      </c>
      <c r="D71" s="16">
        <v>8.605461998867743E-2</v>
      </c>
      <c r="E71" s="16"/>
      <c r="F71" s="16">
        <f t="shared" si="3"/>
        <v>0.11750591462474957</v>
      </c>
      <c r="G71" s="16">
        <f t="shared" si="4"/>
        <v>0.120529392173189</v>
      </c>
      <c r="H71" s="16">
        <f t="shared" si="5"/>
        <v>0.1452</v>
      </c>
      <c r="I71" s="23"/>
      <c r="J71" s="47">
        <v>14.7</v>
      </c>
      <c r="K71" s="48">
        <v>332500</v>
      </c>
      <c r="L71" s="48">
        <v>5200</v>
      </c>
      <c r="M71" s="48">
        <v>1326800</v>
      </c>
      <c r="N71" s="48">
        <v>92700</v>
      </c>
      <c r="O71" s="47">
        <v>102.6</v>
      </c>
      <c r="P71" s="49">
        <f t="shared" si="2"/>
        <v>-2.9494085375250417E-2</v>
      </c>
      <c r="R71" s="57">
        <v>14.771000000000001</v>
      </c>
      <c r="S71" s="57">
        <v>18.015000000000001</v>
      </c>
      <c r="T71" s="57">
        <f t="shared" si="6"/>
        <v>0.8199278379128504</v>
      </c>
    </row>
    <row r="72" spans="1:20" x14ac:dyDescent="0.25">
      <c r="A72" s="13">
        <f t="shared" si="7"/>
        <v>1998</v>
      </c>
      <c r="B72" s="16">
        <v>0.1235028643097314</v>
      </c>
      <c r="C72" s="16">
        <v>0.11162187409349965</v>
      </c>
      <c r="D72" s="16">
        <v>8.6715055382642195E-2</v>
      </c>
      <c r="E72" s="16"/>
      <c r="F72" s="16">
        <f t="shared" si="3"/>
        <v>0.11867589274003057</v>
      </c>
      <c r="G72" s="16">
        <f t="shared" si="4"/>
        <v>0.1241916387259011</v>
      </c>
      <c r="H72" s="16">
        <f t="shared" si="5"/>
        <v>0.15580000000000002</v>
      </c>
      <c r="I72" s="23"/>
      <c r="J72" s="47">
        <v>15.5</v>
      </c>
      <c r="K72" s="48">
        <v>430600</v>
      </c>
      <c r="L72" s="48">
        <v>6400</v>
      </c>
      <c r="M72" s="48">
        <v>1510700</v>
      </c>
      <c r="N72" s="48">
        <v>97700</v>
      </c>
      <c r="O72" s="47">
        <v>104</v>
      </c>
      <c r="P72" s="49">
        <f t="shared" si="2"/>
        <v>-3.6324107259969429E-2</v>
      </c>
      <c r="R72" s="57">
        <v>15.294</v>
      </c>
      <c r="S72" s="57">
        <v>19.088000000000001</v>
      </c>
      <c r="T72" s="57">
        <f t="shared" si="6"/>
        <v>0.80123637887678123</v>
      </c>
    </row>
    <row r="73" spans="1:20" x14ac:dyDescent="0.25">
      <c r="A73" s="13">
        <f t="shared" si="7"/>
        <v>1999</v>
      </c>
      <c r="B73" s="16">
        <v>0.12784542314203862</v>
      </c>
      <c r="C73" s="16">
        <v>0.1156907938902664</v>
      </c>
      <c r="D73" s="16">
        <v>9.0266571464991521E-2</v>
      </c>
      <c r="E73" s="16"/>
      <c r="F73" s="16">
        <f t="shared" si="3"/>
        <v>0.12603937621832362</v>
      </c>
      <c r="G73" s="16">
        <f t="shared" si="4"/>
        <v>0.13066478746757135</v>
      </c>
      <c r="H73" s="16">
        <f t="shared" si="5"/>
        <v>0.15780000000000002</v>
      </c>
      <c r="I73" s="23"/>
      <c r="J73" s="47">
        <v>16.5</v>
      </c>
      <c r="K73" s="48">
        <v>492200</v>
      </c>
      <c r="L73" s="48">
        <v>7600</v>
      </c>
      <c r="M73" s="48">
        <v>1648000</v>
      </c>
      <c r="N73" s="48">
        <v>102600</v>
      </c>
      <c r="O73" s="47">
        <v>104.8</v>
      </c>
      <c r="P73" s="49">
        <f t="shared" si="2"/>
        <v>-3.896062378167639E-2</v>
      </c>
      <c r="R73" s="57">
        <v>15.872999999999999</v>
      </c>
      <c r="S73" s="57">
        <v>20.044</v>
      </c>
      <c r="T73" s="57">
        <f t="shared" si="6"/>
        <v>0.79190780283376572</v>
      </c>
    </row>
    <row r="74" spans="1:20" x14ac:dyDescent="0.25">
      <c r="A74" s="13">
        <f t="shared" si="7"/>
        <v>2000</v>
      </c>
      <c r="B74" s="16">
        <v>0.13289372751555226</v>
      </c>
      <c r="C74" s="16">
        <v>0.1204232231883146</v>
      </c>
      <c r="D74" s="16">
        <v>9.4086470759794788E-2</v>
      </c>
      <c r="E74" s="16"/>
      <c r="F74" s="16">
        <f t="shared" si="3"/>
        <v>0.13190054582130289</v>
      </c>
      <c r="G74" s="16">
        <f t="shared" si="4"/>
        <v>0.13488889921472053</v>
      </c>
      <c r="H74" s="16">
        <f t="shared" si="5"/>
        <v>0.155</v>
      </c>
      <c r="I74" s="23"/>
      <c r="J74" s="47">
        <v>17.600000000000001</v>
      </c>
      <c r="K74" s="48">
        <v>569400</v>
      </c>
      <c r="L74" s="48">
        <v>8300</v>
      </c>
      <c r="M74" s="48">
        <v>1816200</v>
      </c>
      <c r="N74" s="48">
        <v>104800</v>
      </c>
      <c r="O74" s="47">
        <v>108.3</v>
      </c>
      <c r="P74" s="49">
        <f t="shared" si="2"/>
        <v>-4.4099454178697123E-2</v>
      </c>
      <c r="R74" s="57">
        <v>16.494</v>
      </c>
      <c r="S74" s="57">
        <v>21.521000000000001</v>
      </c>
      <c r="T74" s="57">
        <f t="shared" si="6"/>
        <v>0.76641420008363925</v>
      </c>
    </row>
    <row r="75" spans="1:20" x14ac:dyDescent="0.25">
      <c r="A75" s="13">
        <f t="shared" si="7"/>
        <v>2001</v>
      </c>
      <c r="B75" s="16">
        <v>0.12284943924708812</v>
      </c>
      <c r="C75" s="16">
        <v>0.1106869620781834</v>
      </c>
      <c r="D75" s="16">
        <v>8.6243101260112948E-2</v>
      </c>
      <c r="E75" s="16"/>
      <c r="F75" s="16">
        <f t="shared" si="3"/>
        <v>0.12005979997632857</v>
      </c>
      <c r="G75" s="16">
        <f t="shared" si="4"/>
        <v>0.12317047200878156</v>
      </c>
      <c r="H75" s="16">
        <f t="shared" si="5"/>
        <v>0.1522</v>
      </c>
      <c r="I75" s="23"/>
      <c r="J75" s="47">
        <v>14.6</v>
      </c>
      <c r="K75" s="48">
        <v>308100</v>
      </c>
      <c r="L75" s="48">
        <v>4200</v>
      </c>
      <c r="M75" s="48">
        <v>1447200</v>
      </c>
      <c r="N75" s="48">
        <v>99400</v>
      </c>
      <c r="O75" s="47">
        <v>109.4</v>
      </c>
      <c r="P75" s="49">
        <f t="shared" si="2"/>
        <v>-2.5940200023671423E-2</v>
      </c>
      <c r="R75" s="57">
        <v>15.371</v>
      </c>
      <c r="S75" s="57">
        <v>18.22</v>
      </c>
      <c r="T75" s="57">
        <f t="shared" si="6"/>
        <v>0.8436333699231614</v>
      </c>
    </row>
    <row r="76" spans="1:20" x14ac:dyDescent="0.25">
      <c r="A76" s="13">
        <f t="shared" si="7"/>
        <v>2002</v>
      </c>
      <c r="B76" s="16">
        <v>0.11651728187283869</v>
      </c>
      <c r="C76" s="16">
        <v>0.10438403781635271</v>
      </c>
      <c r="D76" s="16">
        <v>8.204246437205609E-2</v>
      </c>
      <c r="E76" s="16"/>
      <c r="F76" s="16">
        <f t="shared" si="3"/>
        <v>0.11326047827932645</v>
      </c>
      <c r="G76" s="16">
        <f t="shared" si="4"/>
        <v>0.11820557367328791</v>
      </c>
      <c r="H76" s="16">
        <f t="shared" si="5"/>
        <v>0.15140000000000001</v>
      </c>
      <c r="I76" s="23"/>
      <c r="J76" s="47">
        <v>13.3</v>
      </c>
      <c r="K76" s="48">
        <v>222800</v>
      </c>
      <c r="L76" s="48">
        <v>3000</v>
      </c>
      <c r="M76" s="48">
        <v>1280000</v>
      </c>
      <c r="N76" s="48">
        <v>95500</v>
      </c>
      <c r="O76" s="47">
        <v>111.4</v>
      </c>
      <c r="P76" s="49">
        <f t="shared" si="2"/>
        <v>-1.9739521720673558E-2</v>
      </c>
      <c r="R76" s="57">
        <v>14.989000000000001</v>
      </c>
      <c r="S76" s="57">
        <v>16.864999999999998</v>
      </c>
      <c r="T76" s="57">
        <f t="shared" si="6"/>
        <v>0.88876371182923231</v>
      </c>
    </row>
    <row r="77" spans="1:20" x14ac:dyDescent="0.25">
      <c r="A77" s="13">
        <f t="shared" si="7"/>
        <v>2003</v>
      </c>
      <c r="B77" s="16">
        <v>0.12090609337273232</v>
      </c>
      <c r="C77" s="16">
        <v>0.10819599075476452</v>
      </c>
      <c r="D77" s="16">
        <v>8.772478656895355E-2</v>
      </c>
      <c r="E77" s="16"/>
      <c r="F77" s="16">
        <f t="shared" si="3"/>
        <v>0.11731115276476099</v>
      </c>
      <c r="G77" s="16">
        <f t="shared" si="4"/>
        <v>0.12238555454130534</v>
      </c>
      <c r="H77" s="16">
        <f t="shared" si="5"/>
        <v>0.152</v>
      </c>
      <c r="I77" s="23"/>
      <c r="J77" s="47">
        <v>14.1</v>
      </c>
      <c r="K77" s="48">
        <v>270700</v>
      </c>
      <c r="L77" s="48">
        <v>3500</v>
      </c>
      <c r="M77" s="48">
        <v>1363800</v>
      </c>
      <c r="N77" s="48">
        <v>97000</v>
      </c>
      <c r="O77" s="47">
        <v>112.1</v>
      </c>
      <c r="P77" s="49">
        <f t="shared" si="2"/>
        <v>-2.3688847235238994E-2</v>
      </c>
      <c r="R77" s="57">
        <v>15.214</v>
      </c>
      <c r="S77" s="57">
        <v>17.527999999999999</v>
      </c>
      <c r="T77" s="57">
        <f t="shared" si="6"/>
        <v>0.86798265632131455</v>
      </c>
    </row>
    <row r="78" spans="1:20" x14ac:dyDescent="0.25">
      <c r="A78" s="13">
        <f t="shared" si="7"/>
        <v>2004</v>
      </c>
      <c r="B78" s="16">
        <v>0.13042465681242077</v>
      </c>
      <c r="C78" s="16">
        <v>0.11681078579628887</v>
      </c>
      <c r="D78" s="16">
        <v>9.2561906374858449E-2</v>
      </c>
      <c r="E78" s="16"/>
      <c r="F78" s="16">
        <f t="shared" si="3"/>
        <v>0.12747520397961817</v>
      </c>
      <c r="G78" s="16">
        <f t="shared" si="4"/>
        <v>0.13315734318837644</v>
      </c>
      <c r="H78" s="16">
        <f t="shared" si="5"/>
        <v>0.16</v>
      </c>
      <c r="I78" s="23"/>
      <c r="J78" s="47">
        <v>16.100000000000001</v>
      </c>
      <c r="K78" s="48">
        <v>412200</v>
      </c>
      <c r="L78" s="48">
        <v>5500</v>
      </c>
      <c r="M78" s="48">
        <v>1626200</v>
      </c>
      <c r="N78" s="48">
        <v>102400</v>
      </c>
      <c r="O78" s="47">
        <v>113.3</v>
      </c>
      <c r="P78" s="49">
        <f t="shared" si="2"/>
        <v>-3.3524796020381831E-2</v>
      </c>
      <c r="R78" s="57">
        <v>16.337</v>
      </c>
      <c r="S78" s="57">
        <v>19.753</v>
      </c>
      <c r="T78" s="57">
        <f t="shared" si="6"/>
        <v>0.82706424340606488</v>
      </c>
    </row>
    <row r="79" spans="1:20" x14ac:dyDescent="0.25">
      <c r="A79" s="13">
        <f t="shared" si="7"/>
        <v>2005</v>
      </c>
      <c r="B79" s="16">
        <v>0.14078954752135975</v>
      </c>
      <c r="C79" s="16">
        <v>0.1260737859770775</v>
      </c>
      <c r="D79" s="16">
        <v>9.8652868369079869E-2</v>
      </c>
      <c r="E79" s="16"/>
      <c r="F79" s="16">
        <f t="shared" si="3"/>
        <v>0.13654813000084923</v>
      </c>
      <c r="G79" s="16">
        <f t="shared" si="4"/>
        <v>0.14441043073553567</v>
      </c>
      <c r="H79" s="16">
        <f t="shared" si="5"/>
        <v>0.17180000000000001</v>
      </c>
      <c r="I79" s="23"/>
      <c r="J79" s="47">
        <v>17.899999999999999</v>
      </c>
      <c r="K79" s="48">
        <v>562600</v>
      </c>
      <c r="L79" s="48">
        <v>7500</v>
      </c>
      <c r="M79" s="48">
        <v>1962100</v>
      </c>
      <c r="N79" s="48">
        <v>107900</v>
      </c>
      <c r="O79" s="47">
        <v>114.5</v>
      </c>
      <c r="P79" s="49">
        <f t="shared" si="2"/>
        <v>-4.2451869999150765E-2</v>
      </c>
      <c r="R79" s="57">
        <v>17.681000000000001</v>
      </c>
      <c r="S79" s="57">
        <v>21.916</v>
      </c>
      <c r="T79" s="57">
        <f t="shared" si="6"/>
        <v>0.80676218288008761</v>
      </c>
    </row>
    <row r="80" spans="1:20" x14ac:dyDescent="0.25">
      <c r="A80" s="13">
        <f t="shared" si="7"/>
        <v>2006</v>
      </c>
      <c r="B80" s="16">
        <v>0.14538740941795281</v>
      </c>
      <c r="C80" s="16">
        <v>0.13023565308569943</v>
      </c>
      <c r="D80" s="16">
        <v>0.10147380015973345</v>
      </c>
      <c r="E80" s="16"/>
      <c r="F80" s="16">
        <f t="shared" si="3"/>
        <v>0.14025193050193052</v>
      </c>
      <c r="G80" s="16">
        <f t="shared" si="4"/>
        <v>0.14717495508916448</v>
      </c>
      <c r="H80" s="16">
        <f t="shared" si="5"/>
        <v>0.17639999999999997</v>
      </c>
      <c r="I80" s="23"/>
      <c r="J80" s="47">
        <v>18.600000000000001</v>
      </c>
      <c r="K80" s="48">
        <v>633100</v>
      </c>
      <c r="L80" s="48">
        <v>8400</v>
      </c>
      <c r="M80" s="48">
        <v>2122000</v>
      </c>
      <c r="N80" s="48">
        <v>112000</v>
      </c>
      <c r="O80" s="47">
        <v>116.1</v>
      </c>
      <c r="P80" s="49">
        <f t="shared" si="2"/>
        <v>-4.5748069498069505E-2</v>
      </c>
      <c r="R80" s="57">
        <v>18.059000000000001</v>
      </c>
      <c r="S80" s="57">
        <v>22.823</v>
      </c>
      <c r="T80" s="57">
        <f t="shared" si="6"/>
        <v>0.79126319940410994</v>
      </c>
    </row>
    <row r="81" spans="1:20" x14ac:dyDescent="0.25">
      <c r="A81" s="13">
        <f t="shared" si="7"/>
        <v>2007</v>
      </c>
      <c r="B81" s="16">
        <v>0.14532352341551816</v>
      </c>
      <c r="C81" s="16">
        <v>0.12967541199975394</v>
      </c>
      <c r="D81" s="16">
        <v>9.8456034630230352E-2</v>
      </c>
      <c r="E81" s="16"/>
      <c r="F81" s="16">
        <f t="shared" si="3"/>
        <v>0.14210786109021945</v>
      </c>
      <c r="G81" s="16">
        <f t="shared" si="4"/>
        <v>0.14971637663277029</v>
      </c>
      <c r="H81" s="16">
        <f t="shared" si="5"/>
        <v>0.1716</v>
      </c>
      <c r="I81" s="22"/>
      <c r="J81" s="47">
        <v>19.2</v>
      </c>
      <c r="K81" s="48">
        <v>711000</v>
      </c>
      <c r="L81" s="48">
        <v>9400</v>
      </c>
      <c r="M81" s="48">
        <v>2236100</v>
      </c>
      <c r="N81" s="48">
        <v>115400</v>
      </c>
      <c r="O81" s="47">
        <v>116.9</v>
      </c>
      <c r="P81" s="49">
        <f t="shared" si="2"/>
        <v>-4.9892138909780559E-2</v>
      </c>
      <c r="R81" s="57">
        <v>18.327000000000002</v>
      </c>
      <c r="S81" s="57">
        <v>23.503</v>
      </c>
      <c r="T81" s="57">
        <f t="shared" si="6"/>
        <v>0.77977279496234531</v>
      </c>
    </row>
    <row r="82" spans="1:20" x14ac:dyDescent="0.25">
      <c r="A82" s="13">
        <f t="shared" si="7"/>
        <v>2008</v>
      </c>
      <c r="B82" s="16">
        <v>0.13655443635794021</v>
      </c>
      <c r="C82" s="16">
        <v>0.12018410873639761</v>
      </c>
      <c r="D82" s="16">
        <v>8.9200997579589353E-2</v>
      </c>
      <c r="E82" s="16"/>
      <c r="F82" s="16">
        <f t="shared" si="3"/>
        <v>0.13304191850652827</v>
      </c>
      <c r="G82" s="16">
        <f t="shared" si="4"/>
        <v>0.14008822686909192</v>
      </c>
      <c r="H82" s="16">
        <f t="shared" si="5"/>
        <v>0.16639999999999996</v>
      </c>
      <c r="I82" s="22"/>
      <c r="J82" s="47">
        <v>16.399999999999999</v>
      </c>
      <c r="K82" s="48">
        <v>397600</v>
      </c>
      <c r="L82" s="48">
        <v>4700</v>
      </c>
      <c r="M82" s="48">
        <v>1825700</v>
      </c>
      <c r="N82" s="48">
        <v>107300</v>
      </c>
      <c r="O82" s="47">
        <v>117.3</v>
      </c>
      <c r="P82" s="49">
        <f t="shared" si="2"/>
        <v>-3.0958081493471706E-2</v>
      </c>
      <c r="R82" s="57">
        <v>17.891999999999999</v>
      </c>
      <c r="S82" s="57">
        <v>20.946000000000002</v>
      </c>
      <c r="T82" s="57">
        <f t="shared" si="6"/>
        <v>0.8541965052993411</v>
      </c>
    </row>
    <row r="83" spans="1:20" x14ac:dyDescent="0.25">
      <c r="A83" s="13">
        <f t="shared" si="7"/>
        <v>2009</v>
      </c>
      <c r="B83" s="16">
        <v>0.12760173003234107</v>
      </c>
      <c r="C83" s="16">
        <v>0.11075127556858402</v>
      </c>
      <c r="D83" s="16">
        <v>8.1744371164088475E-2</v>
      </c>
      <c r="E83" s="16"/>
      <c r="F83" s="16">
        <f t="shared" si="3"/>
        <v>0.12060418994301549</v>
      </c>
      <c r="G83" s="16">
        <f t="shared" si="4"/>
        <v>0.12611198189745568</v>
      </c>
      <c r="H83" s="16">
        <f t="shared" si="5"/>
        <v>0.15939999999999999</v>
      </c>
      <c r="I83" s="21"/>
      <c r="J83" s="47">
        <v>13.7</v>
      </c>
      <c r="K83" s="48">
        <v>194500</v>
      </c>
      <c r="L83" s="48">
        <v>2300</v>
      </c>
      <c r="M83" s="48">
        <v>1429000</v>
      </c>
      <c r="N83" s="48">
        <v>101100</v>
      </c>
      <c r="O83" s="47">
        <v>117.6</v>
      </c>
      <c r="P83" s="49">
        <f t="shared" si="2"/>
        <v>-1.6395810056984497E-2</v>
      </c>
      <c r="R83" s="57">
        <v>16.678999999999998</v>
      </c>
      <c r="S83" s="57">
        <v>18.119</v>
      </c>
      <c r="T83" s="57">
        <f t="shared" si="6"/>
        <v>0.92052541530989562</v>
      </c>
    </row>
    <row r="84" spans="1:20" x14ac:dyDescent="0.25">
      <c r="A84" s="13">
        <f t="shared" si="7"/>
        <v>2010</v>
      </c>
      <c r="B84" s="16">
        <v>0.13819847941779137</v>
      </c>
      <c r="C84" s="16">
        <v>0.12003390699083084</v>
      </c>
      <c r="D84" s="16">
        <v>8.9361326484124801E-2</v>
      </c>
      <c r="E84" s="16"/>
      <c r="F84" s="16">
        <f t="shared" si="3"/>
        <v>0.12778956783084705</v>
      </c>
      <c r="G84" s="16">
        <f t="shared" si="4"/>
        <v>0.13442093339374717</v>
      </c>
      <c r="H84" s="16">
        <f t="shared" si="5"/>
        <v>0.15659999999999999</v>
      </c>
      <c r="I84" s="21"/>
      <c r="J84" s="47">
        <v>15.3</v>
      </c>
      <c r="K84" s="48">
        <v>306200</v>
      </c>
      <c r="L84" s="48">
        <v>3500</v>
      </c>
      <c r="M84" s="48">
        <v>1640700</v>
      </c>
      <c r="N84" s="48">
        <v>102800</v>
      </c>
      <c r="O84" s="47">
        <v>120</v>
      </c>
      <c r="P84" s="49">
        <f t="shared" si="2"/>
        <v>-2.5210432169152946E-2</v>
      </c>
      <c r="R84" s="57">
        <v>17.451000000000001</v>
      </c>
      <c r="S84" s="57">
        <v>19.863</v>
      </c>
      <c r="T84" s="57">
        <f t="shared" si="6"/>
        <v>0.87856819211599457</v>
      </c>
    </row>
    <row r="85" spans="1:20" x14ac:dyDescent="0.25">
      <c r="A85" s="13">
        <f t="shared" si="7"/>
        <v>2011</v>
      </c>
      <c r="B85" s="16">
        <v>0.13447749905738249</v>
      </c>
      <c r="C85" s="16">
        <v>0.11731235107091376</v>
      </c>
      <c r="D85" s="16">
        <v>8.6166947298741386E-2</v>
      </c>
      <c r="E85" s="16"/>
      <c r="F85" s="16">
        <f t="shared" si="3"/>
        <v>0.12639326294877032</v>
      </c>
      <c r="G85" s="16">
        <f t="shared" si="4"/>
        <v>0.13424527917748255</v>
      </c>
      <c r="H85" s="16">
        <f t="shared" si="5"/>
        <v>0.15460000000000002</v>
      </c>
      <c r="I85" s="21"/>
      <c r="J85" s="47">
        <v>15.1</v>
      </c>
      <c r="K85" s="48">
        <v>300000</v>
      </c>
      <c r="L85" s="48">
        <v>3500</v>
      </c>
      <c r="M85" s="48">
        <v>1640300</v>
      </c>
      <c r="N85" s="48">
        <v>102700</v>
      </c>
      <c r="O85" s="47">
        <v>121.2</v>
      </c>
      <c r="P85" s="49">
        <f t="shared" si="2"/>
        <v>-2.4606737051229677E-2</v>
      </c>
      <c r="R85" s="57">
        <v>17.466999999999999</v>
      </c>
      <c r="S85" s="57">
        <v>19.646999999999998</v>
      </c>
      <c r="T85" s="57">
        <f t="shared" si="6"/>
        <v>0.88904158395683819</v>
      </c>
    </row>
    <row r="86" spans="1:20" x14ac:dyDescent="0.25">
      <c r="A86" s="13">
        <f t="shared" si="7"/>
        <v>2012</v>
      </c>
      <c r="B86" s="16">
        <v>0.14880178677187605</v>
      </c>
      <c r="C86" s="16">
        <v>0.13004551747400239</v>
      </c>
      <c r="D86" s="16">
        <v>9.8696735330480886E-2</v>
      </c>
      <c r="E86" s="16"/>
      <c r="F86" s="16">
        <f t="shared" si="3"/>
        <v>0.13967612905220639</v>
      </c>
      <c r="G86" s="16">
        <f t="shared" si="4"/>
        <v>0.14717671280883129</v>
      </c>
      <c r="H86" s="16">
        <f t="shared" si="5"/>
        <v>0.16059999999999999</v>
      </c>
      <c r="I86" s="21"/>
      <c r="J86" s="47">
        <v>17.8</v>
      </c>
      <c r="K86" s="48">
        <v>496600</v>
      </c>
      <c r="L86" s="48">
        <v>5600</v>
      </c>
      <c r="M86" s="48">
        <v>2025400</v>
      </c>
      <c r="N86" s="48">
        <v>107700</v>
      </c>
      <c r="O86" s="47">
        <v>122.5</v>
      </c>
      <c r="P86" s="49">
        <f t="shared" si="2"/>
        <v>-3.8323870947793631E-2</v>
      </c>
      <c r="R86" s="57">
        <v>18.875</v>
      </c>
      <c r="S86" s="57">
        <v>22.827999999999999</v>
      </c>
      <c r="T86" s="57">
        <f t="shared" si="6"/>
        <v>0.82683546521815321</v>
      </c>
    </row>
    <row r="87" spans="1:20" x14ac:dyDescent="0.25">
      <c r="A87" s="13">
        <f t="shared" si="7"/>
        <v>2013</v>
      </c>
      <c r="B87" s="16">
        <v>0.13581085769098403</v>
      </c>
      <c r="C87" s="16">
        <v>0.11893436993218569</v>
      </c>
      <c r="D87" s="16">
        <v>8.6281759277472697E-2</v>
      </c>
      <c r="E87" s="16"/>
      <c r="F87" s="16">
        <f t="shared" si="3"/>
        <v>0.12872302822109</v>
      </c>
      <c r="G87" s="16">
        <f t="shared" si="4"/>
        <v>0.13413226032190345</v>
      </c>
      <c r="H87" s="16">
        <f t="shared" si="5"/>
        <v>0.16320000000000001</v>
      </c>
      <c r="I87" s="21"/>
      <c r="J87" s="47">
        <v>15.4</v>
      </c>
      <c r="K87" s="48">
        <v>328200</v>
      </c>
      <c r="L87" s="48">
        <v>4400</v>
      </c>
      <c r="M87" s="48">
        <v>1706300</v>
      </c>
      <c r="N87" s="48">
        <v>106300</v>
      </c>
      <c r="O87" s="47">
        <v>123.1</v>
      </c>
      <c r="P87" s="49">
        <f t="shared" si="2"/>
        <v>-2.5276971778910001E-2</v>
      </c>
      <c r="R87" s="57">
        <v>17.425000000000001</v>
      </c>
      <c r="S87" s="57">
        <v>20.006</v>
      </c>
      <c r="T87" s="57">
        <f t="shared" si="6"/>
        <v>0.87098870338898338</v>
      </c>
    </row>
    <row r="88" spans="1:20" x14ac:dyDescent="0.25">
      <c r="A88" s="13">
        <f t="shared" si="7"/>
        <v>2014</v>
      </c>
      <c r="B88" s="16">
        <v>0.14170025784965681</v>
      </c>
      <c r="C88" s="16">
        <v>0.12411658763369829</v>
      </c>
      <c r="D88" s="16">
        <v>9.1018407623863096E-2</v>
      </c>
      <c r="E88" s="16"/>
      <c r="F88" s="16">
        <f t="shared" si="3"/>
        <v>0.13330783634097207</v>
      </c>
      <c r="G88" s="16">
        <f t="shared" si="4"/>
        <v>0.13814749070631968</v>
      </c>
      <c r="H88" s="16">
        <f t="shared" si="5"/>
        <v>0.1646</v>
      </c>
      <c r="I88" s="21"/>
      <c r="J88" s="47">
        <v>16.7</v>
      </c>
      <c r="K88" s="48">
        <v>456100</v>
      </c>
      <c r="L88" s="48">
        <v>6100</v>
      </c>
      <c r="M88" s="48">
        <v>1916500</v>
      </c>
      <c r="N88" s="48">
        <v>109900</v>
      </c>
      <c r="O88" s="47">
        <v>124.7</v>
      </c>
      <c r="P88" s="49">
        <f t="shared" si="2"/>
        <v>-3.3692163659027913E-2</v>
      </c>
      <c r="R88" s="57">
        <v>17.802</v>
      </c>
      <c r="S88" s="57">
        <v>21.52</v>
      </c>
      <c r="T88" s="57">
        <f t="shared" si="6"/>
        <v>0.82723048327137549</v>
      </c>
    </row>
    <row r="89" spans="1:20" x14ac:dyDescent="0.25">
      <c r="A89" s="13">
        <f t="shared" si="7"/>
        <v>2015</v>
      </c>
      <c r="B89" s="16">
        <v>0.13763444903518479</v>
      </c>
      <c r="C89" s="16">
        <v>0.12029096374853651</v>
      </c>
      <c r="D89" s="16">
        <v>8.8076925707625153E-2</v>
      </c>
      <c r="E89" s="16"/>
      <c r="F89" s="16">
        <f t="shared" si="3"/>
        <v>0.13153456888652423</v>
      </c>
      <c r="G89" s="16">
        <f t="shared" si="4"/>
        <v>0.13879218011674235</v>
      </c>
      <c r="H89" s="16">
        <f t="shared" si="5"/>
        <v>0.16219999999999998</v>
      </c>
      <c r="I89" s="21"/>
      <c r="J89" s="47">
        <v>16.600000000000001</v>
      </c>
      <c r="K89" s="48">
        <v>476000</v>
      </c>
      <c r="L89" s="48">
        <v>6000</v>
      </c>
      <c r="M89" s="48">
        <v>2000400</v>
      </c>
      <c r="N89" s="48">
        <v>113400</v>
      </c>
      <c r="O89" s="47">
        <v>126.1</v>
      </c>
      <c r="P89" s="49">
        <f t="shared" si="2"/>
        <v>-3.4465431113475775E-2</v>
      </c>
      <c r="R89" s="57">
        <v>18.047999999999998</v>
      </c>
      <c r="S89" s="57">
        <v>21.585999999999999</v>
      </c>
      <c r="T89" s="57">
        <f t="shared" si="6"/>
        <v>0.83609747058278516</v>
      </c>
    </row>
    <row r="90" spans="1:20" x14ac:dyDescent="0.25">
      <c r="A90" s="13">
        <f t="shared" si="7"/>
        <v>2016</v>
      </c>
      <c r="B90" s="16">
        <v>0.13419554909877796</v>
      </c>
      <c r="C90" s="16">
        <v>0.11705409518054577</v>
      </c>
      <c r="D90" s="16">
        <v>8.4921084405299385E-2</v>
      </c>
      <c r="E90" s="16"/>
      <c r="F90" s="16">
        <f t="shared" si="3"/>
        <v>0.12735415967691829</v>
      </c>
      <c r="G90" s="16">
        <f t="shared" si="4"/>
        <v>0.1350248300467673</v>
      </c>
      <c r="H90" s="16">
        <f t="shared" si="5"/>
        <v>0.16459999999999997</v>
      </c>
      <c r="I90" s="21"/>
      <c r="J90" s="47">
        <v>15.8</v>
      </c>
      <c r="K90" s="48">
        <v>416800</v>
      </c>
      <c r="L90" s="48">
        <v>5200</v>
      </c>
      <c r="M90" s="48">
        <v>1903200</v>
      </c>
      <c r="N90" s="48">
        <v>112500</v>
      </c>
      <c r="O90" s="47">
        <v>126.5</v>
      </c>
      <c r="P90" s="49">
        <f t="shared" si="2"/>
        <v>-3.0645840323081708E-2</v>
      </c>
      <c r="R90" s="57">
        <v>17.725000000000001</v>
      </c>
      <c r="S90" s="57">
        <v>20.741</v>
      </c>
      <c r="T90" s="57">
        <f t="shared" si="6"/>
        <v>0.85458753194156512</v>
      </c>
    </row>
    <row r="91" spans="1:20" x14ac:dyDescent="0.25">
      <c r="A91" s="13">
        <f t="shared" si="7"/>
        <v>2017</v>
      </c>
      <c r="B91" s="16">
        <v>0.14138500814474045</v>
      </c>
      <c r="C91" s="16">
        <v>0.12352673167851266</v>
      </c>
      <c r="D91" s="16">
        <v>9.0910337052887355E-2</v>
      </c>
      <c r="E91" s="16"/>
      <c r="F91" s="16">
        <f t="shared" si="3"/>
        <v>0.12909930675458353</v>
      </c>
      <c r="G91" s="16">
        <f t="shared" si="4"/>
        <v>0.13707992911346389</v>
      </c>
      <c r="H91" s="16">
        <f t="shared" si="5"/>
        <v>0.16300000000000003</v>
      </c>
      <c r="I91" s="21"/>
      <c r="J91" s="47">
        <v>16.600000000000001</v>
      </c>
      <c r="K91" s="48">
        <v>526000</v>
      </c>
      <c r="L91" s="48">
        <v>7000</v>
      </c>
      <c r="M91" s="48">
        <v>2046900</v>
      </c>
      <c r="N91" s="48">
        <v>116100</v>
      </c>
      <c r="O91" s="47">
        <v>127.7</v>
      </c>
      <c r="P91" s="49">
        <f t="shared" si="2"/>
        <v>-3.6900693245416477E-2</v>
      </c>
      <c r="R91" s="57">
        <v>18.172999999999998</v>
      </c>
      <c r="S91" s="57">
        <v>22.007000000000001</v>
      </c>
      <c r="T91" s="57">
        <f t="shared" si="6"/>
        <v>0.82578270550279442</v>
      </c>
    </row>
    <row r="92" spans="1:20" x14ac:dyDescent="0.25">
      <c r="A92" s="13">
        <f t="shared" si="7"/>
        <v>2018</v>
      </c>
      <c r="B92" s="16">
        <v>0.14229334164738572</v>
      </c>
      <c r="C92" s="16">
        <v>0.1246119129032093</v>
      </c>
      <c r="D92" s="16">
        <v>9.219328179621547E-2</v>
      </c>
      <c r="E92" s="16"/>
      <c r="F92" s="16">
        <f t="shared" si="3"/>
        <v>0.12852195945945949</v>
      </c>
      <c r="G92" s="16">
        <f t="shared" si="4"/>
        <v>0.13869990438464691</v>
      </c>
      <c r="H92" s="16">
        <f t="shared" si="5"/>
        <v>0.16225000000000001</v>
      </c>
      <c r="I92" s="21"/>
      <c r="J92" s="47">
        <v>16.600000000000001</v>
      </c>
      <c r="K92" s="48">
        <v>544400</v>
      </c>
      <c r="L92" s="48">
        <v>7400</v>
      </c>
      <c r="M92" s="48">
        <v>2054300</v>
      </c>
      <c r="N92" s="48">
        <v>118400</v>
      </c>
      <c r="O92" s="47">
        <v>128.69999999999999</v>
      </c>
      <c r="P92" s="49">
        <f t="shared" si="2"/>
        <v>-3.7478040540540519E-2</v>
      </c>
      <c r="R92" s="57">
        <v>18.350999999999999</v>
      </c>
      <c r="S92" s="57">
        <v>21.963000000000001</v>
      </c>
      <c r="T92" s="57">
        <f t="shared" si="6"/>
        <v>0.83554159267859573</v>
      </c>
    </row>
    <row r="93" spans="1:20" x14ac:dyDescent="0.25">
      <c r="A93" s="13">
        <f t="shared" si="7"/>
        <v>2019</v>
      </c>
      <c r="B93" s="16">
        <v>0.13785770525864624</v>
      </c>
      <c r="C93" s="16">
        <v>0.12043808648654329</v>
      </c>
      <c r="D93" s="16">
        <v>8.8028759161501019E-2</v>
      </c>
      <c r="E93" s="16"/>
      <c r="F93" s="16">
        <f t="shared" si="3"/>
        <v>0.12509521349306296</v>
      </c>
      <c r="G93" s="16">
        <f t="shared" si="4"/>
        <v>0.13225809960743509</v>
      </c>
      <c r="H93" s="16">
        <f t="shared" si="5"/>
        <v>0.16366666666666668</v>
      </c>
      <c r="I93" s="21"/>
      <c r="J93" s="47">
        <v>15.9</v>
      </c>
      <c r="K93" s="48">
        <v>501600</v>
      </c>
      <c r="L93" s="48">
        <v>6800</v>
      </c>
      <c r="M93" s="48">
        <v>2013900</v>
      </c>
      <c r="N93" s="48">
        <v>121500</v>
      </c>
      <c r="O93" s="47">
        <v>128.1</v>
      </c>
      <c r="P93" s="49">
        <f t="shared" si="2"/>
        <v>-3.390478650693704E-2</v>
      </c>
      <c r="R93" s="57">
        <v>17.587</v>
      </c>
      <c r="S93" s="57">
        <v>21.143000000000001</v>
      </c>
      <c r="T93" s="57">
        <f t="shared" si="6"/>
        <v>0.83181194721657281</v>
      </c>
    </row>
    <row r="94" spans="1:20" x14ac:dyDescent="0.25">
      <c r="A94" s="13">
        <f t="shared" si="7"/>
        <v>2020</v>
      </c>
      <c r="F94" s="16"/>
      <c r="G94" s="16"/>
      <c r="H94" s="16"/>
      <c r="J94" s="36"/>
      <c r="K94" s="37"/>
      <c r="L94" s="37"/>
      <c r="M94" s="37"/>
      <c r="N94" s="37"/>
      <c r="O94" s="36"/>
      <c r="P94" s="35"/>
    </row>
    <row r="95" spans="1:20" x14ac:dyDescent="0.25">
      <c r="A95" s="13"/>
    </row>
    <row r="96" spans="1:20" x14ac:dyDescent="0.25">
      <c r="A96" s="13"/>
    </row>
    <row r="97" spans="1:9" x14ac:dyDescent="0.25">
      <c r="I97" s="20"/>
    </row>
    <row r="98" spans="1:9" x14ac:dyDescent="0.25">
      <c r="A98" s="18" t="s">
        <v>8</v>
      </c>
      <c r="B98" s="16">
        <f>B93-B36</f>
        <v>2.6440241437830483E-2</v>
      </c>
      <c r="C98" s="16">
        <f>C93-C36</f>
        <v>1.4037013240426111E-2</v>
      </c>
      <c r="D98" s="16">
        <f>D93-D36</f>
        <v>1.5950120181021515E-3</v>
      </c>
      <c r="E98" s="16"/>
    </row>
    <row r="99" spans="1:9" x14ac:dyDescent="0.25">
      <c r="A99" s="18" t="s">
        <v>7</v>
      </c>
      <c r="B99" s="16">
        <f>B93-B53</f>
        <v>4.3786780320884691E-2</v>
      </c>
      <c r="C99" s="16">
        <f>C93-C53</f>
        <v>3.3548625268229215E-2</v>
      </c>
      <c r="D99" s="16">
        <f>D93-D53</f>
        <v>1.4359432838881844E-2</v>
      </c>
      <c r="E99" s="16"/>
    </row>
    <row r="101" spans="1:9" x14ac:dyDescent="0.25">
      <c r="A101" s="18" t="s">
        <v>8</v>
      </c>
      <c r="B101" s="14">
        <f>B98/B36</f>
        <v>0.2373078737490589</v>
      </c>
      <c r="C101" s="14">
        <f>C98/C36</f>
        <v>0.13192548545029223</v>
      </c>
      <c r="D101" s="14">
        <f>D98/D36</f>
        <v>1.8453579427210636E-2</v>
      </c>
      <c r="E101" s="14"/>
    </row>
    <row r="102" spans="1:9" x14ac:dyDescent="0.25">
      <c r="A102" s="18" t="s">
        <v>7</v>
      </c>
      <c r="B102" s="14">
        <f>B99/B53</f>
        <v>0.46546560852733776</v>
      </c>
      <c r="C102" s="14">
        <f>C99/C53</f>
        <v>0.38610695471959061</v>
      </c>
      <c r="D102" s="14">
        <f>D99/D53</f>
        <v>0.19491739039390366</v>
      </c>
      <c r="E102" s="14"/>
    </row>
    <row r="106" spans="1:9" x14ac:dyDescent="0.25">
      <c r="A106" s="4"/>
      <c r="B106" s="4"/>
      <c r="C106" s="4"/>
      <c r="D106" s="4"/>
      <c r="E106" s="4"/>
    </row>
  </sheetData>
  <mergeCells count="3">
    <mergeCell ref="B32:D32"/>
    <mergeCell ref="A28:I28"/>
    <mergeCell ref="F32:H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08DD-0D46-445A-BB55-02636D0CF4D5}">
  <dimension ref="A1:H57"/>
  <sheetViews>
    <sheetView topLeftCell="A28" zoomScaleNormal="100" workbookViewId="0">
      <selection activeCell="B57" sqref="B57"/>
    </sheetView>
  </sheetViews>
  <sheetFormatPr defaultRowHeight="15" x14ac:dyDescent="0.25"/>
  <cols>
    <col min="1" max="1" width="11.85546875" customWidth="1"/>
    <col min="2" max="2" width="14.7109375" customWidth="1"/>
    <col min="3" max="3" width="12" bestFit="1" customWidth="1"/>
    <col min="4" max="4" width="19.85546875" customWidth="1"/>
    <col min="5" max="5" width="18.7109375" customWidth="1"/>
    <col min="6" max="6" width="18" customWidth="1"/>
    <col min="7" max="7" width="20.85546875" customWidth="1"/>
  </cols>
  <sheetData>
    <row r="1" spans="1:7" x14ac:dyDescent="0.25">
      <c r="A1" s="4" t="s">
        <v>109</v>
      </c>
    </row>
    <row r="3" spans="1:7" s="80" customFormat="1" ht="60" x14ac:dyDescent="0.25">
      <c r="A3" s="81" t="s">
        <v>108</v>
      </c>
      <c r="B3" s="81" t="s">
        <v>107</v>
      </c>
      <c r="C3" s="81" t="s">
        <v>106</v>
      </c>
      <c r="D3" s="81" t="s">
        <v>105</v>
      </c>
      <c r="E3" s="81" t="s">
        <v>104</v>
      </c>
      <c r="F3" s="81" t="s">
        <v>118</v>
      </c>
    </row>
    <row r="4" spans="1:7" x14ac:dyDescent="0.25">
      <c r="A4" s="69" t="s">
        <v>85</v>
      </c>
      <c r="B4">
        <v>2019</v>
      </c>
      <c r="C4">
        <v>1</v>
      </c>
      <c r="D4" s="79">
        <v>20050809053.415699</v>
      </c>
      <c r="E4" s="78">
        <f t="shared" ref="E4:E11" si="0">(D4)/1000000000</f>
        <v>20.050809053415698</v>
      </c>
      <c r="F4" s="82">
        <f t="shared" ref="F4:F11" si="1">E4/E$12*100</f>
        <v>23.055090670156961</v>
      </c>
      <c r="G4" t="s">
        <v>103</v>
      </c>
    </row>
    <row r="5" spans="1:7" x14ac:dyDescent="0.25">
      <c r="A5" s="69" t="s">
        <v>102</v>
      </c>
      <c r="B5">
        <v>2019</v>
      </c>
      <c r="C5">
        <v>2</v>
      </c>
      <c r="D5" s="79">
        <v>4920803815.5421782</v>
      </c>
      <c r="E5" s="78">
        <f t="shared" si="0"/>
        <v>4.9208038155421781</v>
      </c>
      <c r="F5" s="82">
        <f t="shared" si="1"/>
        <v>5.6581047595210556</v>
      </c>
      <c r="G5" t="s">
        <v>101</v>
      </c>
    </row>
    <row r="6" spans="1:7" x14ac:dyDescent="0.25">
      <c r="A6" s="69" t="s">
        <v>100</v>
      </c>
      <c r="B6">
        <v>2019</v>
      </c>
      <c r="C6">
        <v>3</v>
      </c>
      <c r="D6" s="79">
        <v>2797984447.487824</v>
      </c>
      <c r="E6" s="78">
        <f t="shared" si="0"/>
        <v>2.7979844474878242</v>
      </c>
      <c r="F6" s="82">
        <f t="shared" si="1"/>
        <v>3.2172160713650491</v>
      </c>
      <c r="G6" t="s">
        <v>99</v>
      </c>
    </row>
    <row r="7" spans="1:7" x14ac:dyDescent="0.25">
      <c r="A7" s="69" t="s">
        <v>98</v>
      </c>
      <c r="B7">
        <v>2019</v>
      </c>
      <c r="C7">
        <v>4</v>
      </c>
      <c r="D7" s="79">
        <v>4916944642.7843704</v>
      </c>
      <c r="E7" s="78">
        <f t="shared" si="0"/>
        <v>4.9169446427843706</v>
      </c>
      <c r="F7" s="82">
        <f t="shared" si="1"/>
        <v>5.6536673536485038</v>
      </c>
      <c r="G7" t="s">
        <v>97</v>
      </c>
    </row>
    <row r="8" spans="1:7" x14ac:dyDescent="0.25">
      <c r="A8" s="69" t="s">
        <v>96</v>
      </c>
      <c r="B8">
        <v>2019</v>
      </c>
      <c r="C8">
        <v>5</v>
      </c>
      <c r="D8" s="79">
        <v>4142884387.7042794</v>
      </c>
      <c r="E8" s="78">
        <f t="shared" si="0"/>
        <v>4.1428843877042798</v>
      </c>
      <c r="F8" s="82">
        <f t="shared" si="1"/>
        <v>4.7636269908135587</v>
      </c>
      <c r="G8" t="s">
        <v>95</v>
      </c>
    </row>
    <row r="9" spans="1:7" x14ac:dyDescent="0.25">
      <c r="A9" s="69" t="s">
        <v>80</v>
      </c>
      <c r="B9">
        <v>2019</v>
      </c>
      <c r="C9">
        <v>6</v>
      </c>
      <c r="D9" s="79">
        <v>4919987270.8999367</v>
      </c>
      <c r="E9" s="78">
        <f t="shared" si="0"/>
        <v>4.919987270899937</v>
      </c>
      <c r="F9" s="82">
        <f t="shared" si="1"/>
        <v>5.6571658691893516</v>
      </c>
      <c r="G9" t="s">
        <v>94</v>
      </c>
    </row>
    <row r="10" spans="1:7" x14ac:dyDescent="0.25">
      <c r="A10" s="69" t="s">
        <v>78</v>
      </c>
      <c r="B10">
        <v>2019</v>
      </c>
      <c r="C10">
        <v>7</v>
      </c>
      <c r="D10" s="79">
        <v>11478298271.452614</v>
      </c>
      <c r="E10" s="78">
        <f t="shared" si="0"/>
        <v>11.478298271452614</v>
      </c>
      <c r="F10" s="82">
        <f t="shared" si="1"/>
        <v>13.198131141863579</v>
      </c>
      <c r="G10" t="s">
        <v>93</v>
      </c>
    </row>
    <row r="11" spans="1:7" x14ac:dyDescent="0.25">
      <c r="A11" s="69" t="s">
        <v>92</v>
      </c>
      <c r="B11">
        <v>2019</v>
      </c>
      <c r="C11">
        <v>8</v>
      </c>
      <c r="D11" s="79">
        <v>33741406299.304432</v>
      </c>
      <c r="E11" s="78">
        <f t="shared" si="0"/>
        <v>33.74140629930443</v>
      </c>
      <c r="F11" s="82">
        <f t="shared" si="1"/>
        <v>38.796997143441949</v>
      </c>
      <c r="G11" t="s">
        <v>91</v>
      </c>
    </row>
    <row r="12" spans="1:7" x14ac:dyDescent="0.25">
      <c r="A12" s="77" t="s">
        <v>90</v>
      </c>
      <c r="B12" s="76"/>
      <c r="C12" s="76"/>
      <c r="D12" s="75">
        <f>SUM(D4:D11)</f>
        <v>86969118188.591339</v>
      </c>
      <c r="E12" s="74">
        <f>SUM(E4:E11)</f>
        <v>86.969118188591324</v>
      </c>
      <c r="F12" s="74">
        <f>SUM(F4:F11)</f>
        <v>100</v>
      </c>
    </row>
    <row r="13" spans="1:7" x14ac:dyDescent="0.25">
      <c r="D13" s="73">
        <f>D12/$B46/1000000000</f>
        <v>0.31857986808524608</v>
      </c>
      <c r="E13" s="73"/>
    </row>
    <row r="14" spans="1:7" x14ac:dyDescent="0.25">
      <c r="D14" t="s">
        <v>111</v>
      </c>
    </row>
    <row r="16" spans="1:7" x14ac:dyDescent="0.25">
      <c r="A16" s="4" t="s">
        <v>89</v>
      </c>
    </row>
    <row r="17" spans="1:8" x14ac:dyDescent="0.25">
      <c r="B17" s="124" t="s">
        <v>88</v>
      </c>
      <c r="C17" s="124"/>
      <c r="G17" s="72"/>
      <c r="H17" s="1"/>
    </row>
    <row r="18" spans="1:8" x14ac:dyDescent="0.25">
      <c r="A18" s="30"/>
      <c r="B18" s="30" t="s">
        <v>87</v>
      </c>
      <c r="C18" s="30" t="s">
        <v>86</v>
      </c>
      <c r="F18" s="3"/>
      <c r="G18" s="72"/>
      <c r="H18" s="1"/>
    </row>
    <row r="19" spans="1:8" x14ac:dyDescent="0.25">
      <c r="A19" s="69" t="s">
        <v>85</v>
      </c>
      <c r="B19" s="11">
        <f>F4</f>
        <v>23.055090670156961</v>
      </c>
      <c r="C19" s="11">
        <f>B19+(C$30*SUM(B$24:B$27)*B19/SUM(B$19:B$23))</f>
        <v>25.247307338761228</v>
      </c>
      <c r="D19" s="39" t="str">
        <f t="shared" ref="D19:D27" si="2">CONCATENATE("%let ptdep_",E19,"=",ROUND(C19/100,3),"; *", A19,"; ")</f>
        <v xml:space="preserve">%let ptdep_0=0.252; *Negative; </v>
      </c>
      <c r="E19" s="39">
        <v>0</v>
      </c>
    </row>
    <row r="20" spans="1:8" x14ac:dyDescent="0.25">
      <c r="A20" s="69" t="s">
        <v>84</v>
      </c>
      <c r="B20" s="11">
        <f>F5+F6*0.5</f>
        <v>7.2667127952035804</v>
      </c>
      <c r="C20" s="11">
        <f>B20+(C$30*SUM(B$24:B$27)*B20/SUM(B$19:B$23))</f>
        <v>7.9576755480079155</v>
      </c>
      <c r="D20" s="39" t="str">
        <f t="shared" si="2"/>
        <v xml:space="preserve">%let ptdep_1=0.08; *Bottom 50%; </v>
      </c>
      <c r="E20" s="39">
        <f t="shared" ref="E20:E27" si="3">E19+1</f>
        <v>1</v>
      </c>
      <c r="F20" s="3">
        <f>F11</f>
        <v>38.796997143441949</v>
      </c>
      <c r="G20" t="s">
        <v>83</v>
      </c>
    </row>
    <row r="21" spans="1:8" x14ac:dyDescent="0.25">
      <c r="A21" s="69" t="s">
        <v>82</v>
      </c>
      <c r="B21" s="11">
        <f>F6*0.5+F7+F8</f>
        <v>12.025902380144586</v>
      </c>
      <c r="C21" s="11">
        <f>B21+(C$30*SUM(B$24:B$27)*B21/SUM(B$19:B$23))</f>
        <v>13.169397499289186</v>
      </c>
      <c r="D21" s="39" t="str">
        <f t="shared" si="2"/>
        <v xml:space="preserve">%let ptdep_2=0.132; *P50-90; </v>
      </c>
      <c r="E21" s="39">
        <f t="shared" si="3"/>
        <v>2</v>
      </c>
      <c r="F21" s="5">
        <v>-0.1</v>
      </c>
      <c r="G21" t="s">
        <v>81</v>
      </c>
    </row>
    <row r="22" spans="1:8" x14ac:dyDescent="0.25">
      <c r="A22" s="69" t="s">
        <v>80</v>
      </c>
      <c r="B22" s="11">
        <f>F9</f>
        <v>5.6571658691893516</v>
      </c>
      <c r="C22" s="11">
        <f>B22+(C$30*SUM(B$24:B$27)*B22/SUM(B$19:B$23))</f>
        <v>6.1950832208460564</v>
      </c>
      <c r="D22" s="39" t="str">
        <f t="shared" si="2"/>
        <v xml:space="preserve">%let ptdep_3=0.062; *90-95; </v>
      </c>
      <c r="E22" s="39">
        <f t="shared" si="3"/>
        <v>3</v>
      </c>
      <c r="F22">
        <v>-0.15</v>
      </c>
      <c r="G22" t="s">
        <v>79</v>
      </c>
    </row>
    <row r="23" spans="1:8" x14ac:dyDescent="0.25">
      <c r="A23" s="69" t="s">
        <v>78</v>
      </c>
      <c r="B23" s="11">
        <f>F10</f>
        <v>13.198131141863579</v>
      </c>
      <c r="C23" s="11">
        <f>B23+(C$30*SUM(B$24:B$27)*B23/SUM(B$19:B$23))</f>
        <v>14.453088821169962</v>
      </c>
      <c r="D23" s="39" t="str">
        <f t="shared" si="2"/>
        <v xml:space="preserve">%let ptdep_4=0.145; *95-99; </v>
      </c>
      <c r="E23" s="39">
        <f t="shared" si="3"/>
        <v>4</v>
      </c>
      <c r="F23" s="71">
        <f>F20*(1+F21+F22)</f>
        <v>29.09774785758146</v>
      </c>
      <c r="G23" t="s">
        <v>77</v>
      </c>
    </row>
    <row r="24" spans="1:8" x14ac:dyDescent="0.25">
      <c r="A24" s="69" t="s">
        <v>76</v>
      </c>
      <c r="B24" s="11">
        <f>F$11*0.25</f>
        <v>9.6992492858604873</v>
      </c>
      <c r="C24" s="11">
        <f>B24*(1-C$30)</f>
        <v>8.2443618929814146</v>
      </c>
      <c r="D24" s="39" t="str">
        <f t="shared" si="2"/>
        <v xml:space="preserve">%let ptdep_5=0.082; *P99-99.5; </v>
      </c>
      <c r="E24" s="39">
        <f t="shared" si="3"/>
        <v>5</v>
      </c>
      <c r="F24" s="4" t="s">
        <v>75</v>
      </c>
    </row>
    <row r="25" spans="1:8" x14ac:dyDescent="0.25">
      <c r="A25" s="69" t="s">
        <v>74</v>
      </c>
      <c r="B25" s="11">
        <f>F$11*0.25</f>
        <v>9.6992492858604873</v>
      </c>
      <c r="C25" s="11">
        <f>B25*(1-C$30)</f>
        <v>8.2443618929814146</v>
      </c>
      <c r="D25" s="39" t="str">
        <f t="shared" si="2"/>
        <v xml:space="preserve">%let ptdep_6=0.082; *P99.5-99.9; </v>
      </c>
      <c r="E25" s="39">
        <f t="shared" si="3"/>
        <v>6</v>
      </c>
      <c r="F25" s="2">
        <f>((16%-3%)*780-42%*90+(21%*70+F$23/100*(380-70))-126)/18273</f>
        <v>2.326001114130275E-3</v>
      </c>
      <c r="G25" t="s">
        <v>73</v>
      </c>
    </row>
    <row r="26" spans="1:8" x14ac:dyDescent="0.25">
      <c r="A26" s="69" t="s">
        <v>72</v>
      </c>
      <c r="B26" s="11">
        <f>F$11*0.25</f>
        <v>9.6992492858604873</v>
      </c>
      <c r="C26" s="11">
        <f>B26*(1-C$30)</f>
        <v>8.2443618929814146</v>
      </c>
      <c r="D26" s="39" t="str">
        <f t="shared" si="2"/>
        <v xml:space="preserve">%let ptdep_7=0.082; *P99.9-99.99; </v>
      </c>
      <c r="E26" s="39">
        <f t="shared" si="3"/>
        <v>7</v>
      </c>
      <c r="F26" s="2">
        <f>((16%-3%)*780-42%*90+(21%*70+(F23*(1-F22+H26))/100*(380-70))-126)/18273</f>
        <v>1.8323601227303826E-3</v>
      </c>
      <c r="G26" t="s">
        <v>71</v>
      </c>
      <c r="H26" s="70">
        <v>-0.25</v>
      </c>
    </row>
    <row r="27" spans="1:8" x14ac:dyDescent="0.25">
      <c r="A27" s="69" t="s">
        <v>70</v>
      </c>
      <c r="B27" s="68">
        <f>100-SUM(B19:B26)</f>
        <v>9.6992492858604749</v>
      </c>
      <c r="C27" s="11">
        <f>B27*(1-C$30)</f>
        <v>8.244361892981404</v>
      </c>
      <c r="D27" s="39" t="str">
        <f t="shared" si="2"/>
        <v xml:space="preserve">%let ptdep_8=0.082; *Top 0.01%; </v>
      </c>
      <c r="E27" s="39">
        <f t="shared" si="3"/>
        <v>8</v>
      </c>
      <c r="F27" s="2">
        <f>((16%-3%)*780-H27*90+(21%*70+F$23/100*(380-70))-126)/18273</f>
        <v>1.3901941858754732E-3</v>
      </c>
      <c r="G27" t="s">
        <v>69</v>
      </c>
      <c r="H27" s="1">
        <v>0.61</v>
      </c>
    </row>
    <row r="28" spans="1:8" x14ac:dyDescent="0.25">
      <c r="B28" s="67">
        <f>SUM(B19:B27)</f>
        <v>100</v>
      </c>
      <c r="C28" s="67">
        <f>SUM(C19:C27)</f>
        <v>100</v>
      </c>
      <c r="F28" s="2"/>
    </row>
    <row r="29" spans="1:8" x14ac:dyDescent="0.25">
      <c r="A29" s="69" t="s">
        <v>110</v>
      </c>
      <c r="B29" s="67">
        <f>SUM(B24:B27)</f>
        <v>38.796997143441935</v>
      </c>
      <c r="C29" s="67">
        <f>SUM(C24:C27)</f>
        <v>32.977447571925644</v>
      </c>
      <c r="F29" s="2"/>
    </row>
    <row r="30" spans="1:8" x14ac:dyDescent="0.25">
      <c r="B30" s="66" t="s">
        <v>68</v>
      </c>
      <c r="C30" s="53">
        <v>0.15</v>
      </c>
      <c r="F30">
        <v>29</v>
      </c>
      <c r="G30" t="s">
        <v>67</v>
      </c>
    </row>
    <row r="31" spans="1:8" x14ac:dyDescent="0.25">
      <c r="B31" s="4"/>
      <c r="C31" s="65"/>
      <c r="F31" s="7">
        <f>(F20*(1+F21)*2/3+F30*1/3)*(1+F22)</f>
        <v>28.003135209822062</v>
      </c>
      <c r="G31" t="s">
        <v>66</v>
      </c>
    </row>
    <row r="32" spans="1:8" x14ac:dyDescent="0.25">
      <c r="A32" s="4" t="s">
        <v>65</v>
      </c>
    </row>
    <row r="33" spans="1:4" ht="30" x14ac:dyDescent="0.25">
      <c r="B33" s="15" t="s">
        <v>64</v>
      </c>
      <c r="C33" s="64" t="s">
        <v>63</v>
      </c>
    </row>
    <row r="34" spans="1:4" x14ac:dyDescent="0.25">
      <c r="A34" t="s">
        <v>62</v>
      </c>
      <c r="B34" s="11">
        <v>111</v>
      </c>
      <c r="C34" s="54">
        <f t="shared" ref="C34:C45" si="4">B34/B$46*100</f>
        <v>40.66083006703542</v>
      </c>
    </row>
    <row r="35" spans="1:4" x14ac:dyDescent="0.25">
      <c r="A35" t="s">
        <v>61</v>
      </c>
      <c r="B35" s="11">
        <v>68.400000000000006</v>
      </c>
      <c r="C35" s="54">
        <f t="shared" si="4"/>
        <v>25.055862852119127</v>
      </c>
    </row>
    <row r="36" spans="1:4" x14ac:dyDescent="0.25">
      <c r="A36" t="s">
        <v>60</v>
      </c>
      <c r="B36" s="11">
        <v>0.1</v>
      </c>
      <c r="C36" s="54">
        <f t="shared" si="4"/>
        <v>3.6631378438770651E-2</v>
      </c>
    </row>
    <row r="37" spans="1:4" x14ac:dyDescent="0.25">
      <c r="A37" t="s">
        <v>59</v>
      </c>
      <c r="B37" s="11">
        <v>9.3000000000000007</v>
      </c>
      <c r="C37" s="54">
        <f t="shared" si="4"/>
        <v>3.4067181948056704</v>
      </c>
    </row>
    <row r="38" spans="1:4" x14ac:dyDescent="0.25">
      <c r="A38" t="s">
        <v>58</v>
      </c>
      <c r="B38" s="11">
        <v>0.3</v>
      </c>
      <c r="C38" s="54">
        <f t="shared" si="4"/>
        <v>0.10989413531631194</v>
      </c>
    </row>
    <row r="39" spans="1:4" x14ac:dyDescent="0.25">
      <c r="A39" t="s">
        <v>57</v>
      </c>
      <c r="B39" s="11">
        <v>0.2</v>
      </c>
      <c r="C39" s="54">
        <f t="shared" si="4"/>
        <v>7.3262756877541302E-2</v>
      </c>
    </row>
    <row r="40" spans="1:4" x14ac:dyDescent="0.25">
      <c r="A40" t="s">
        <v>56</v>
      </c>
      <c r="B40" s="11">
        <v>1.65</v>
      </c>
      <c r="C40" s="54">
        <f t="shared" si="4"/>
        <v>0.60441774423971562</v>
      </c>
      <c r="D40" t="s">
        <v>55</v>
      </c>
    </row>
    <row r="41" spans="1:4" x14ac:dyDescent="0.25">
      <c r="A41" t="s">
        <v>54</v>
      </c>
      <c r="B41" s="11">
        <v>87.3</v>
      </c>
      <c r="C41" s="54">
        <f t="shared" si="4"/>
        <v>31.979193377046776</v>
      </c>
      <c r="D41" s="63">
        <f>C41/100+D13</f>
        <v>0.63837180185571385</v>
      </c>
    </row>
    <row r="42" spans="1:4" x14ac:dyDescent="0.25">
      <c r="A42" t="s">
        <v>53</v>
      </c>
      <c r="B42" s="11">
        <v>10.1</v>
      </c>
      <c r="C42" s="54">
        <f t="shared" si="4"/>
        <v>3.6997692223158349</v>
      </c>
    </row>
    <row r="43" spans="1:4" x14ac:dyDescent="0.25">
      <c r="A43" t="s">
        <v>52</v>
      </c>
      <c r="B43" s="11">
        <v>4.2</v>
      </c>
      <c r="C43" s="54">
        <f t="shared" si="4"/>
        <v>1.5385178944283673</v>
      </c>
    </row>
    <row r="44" spans="1:4" x14ac:dyDescent="0.25">
      <c r="A44" t="s">
        <v>51</v>
      </c>
      <c r="B44" s="11">
        <v>2.1</v>
      </c>
      <c r="C44" s="54">
        <f t="shared" si="4"/>
        <v>0.76925894721418364</v>
      </c>
    </row>
    <row r="45" spans="1:4" x14ac:dyDescent="0.25">
      <c r="A45" t="s">
        <v>50</v>
      </c>
      <c r="B45" s="11">
        <v>0.8</v>
      </c>
      <c r="C45" s="54">
        <f t="shared" si="4"/>
        <v>0.29305102751016521</v>
      </c>
    </row>
    <row r="46" spans="1:4" x14ac:dyDescent="0.25">
      <c r="A46" s="4" t="s">
        <v>49</v>
      </c>
      <c r="B46" s="62">
        <v>272.99</v>
      </c>
      <c r="C46" s="61"/>
      <c r="D46" t="s">
        <v>48</v>
      </c>
    </row>
    <row r="49" spans="1:5" x14ac:dyDescent="0.25">
      <c r="A49" s="4" t="s">
        <v>142</v>
      </c>
    </row>
    <row r="50" spans="1:5" x14ac:dyDescent="0.25">
      <c r="A50" t="s">
        <v>140</v>
      </c>
      <c r="D50" s="96">
        <f>39%* (100% - 10% -15%)</f>
        <v>0.29249999999999998</v>
      </c>
    </row>
    <row r="51" spans="1:5" x14ac:dyDescent="0.25">
      <c r="A51" t="s">
        <v>141</v>
      </c>
    </row>
    <row r="53" spans="1:5" x14ac:dyDescent="0.25">
      <c r="A53" s="86" t="s">
        <v>143</v>
      </c>
      <c r="D53" s="97">
        <f>((16%-3%)*780-42%*90+21%*70+29%*(380-70)-126)/18273*100</f>
        <v>0.23094182673890434</v>
      </c>
      <c r="E53" t="s">
        <v>128</v>
      </c>
    </row>
    <row r="54" spans="1:5" x14ac:dyDescent="0.25">
      <c r="A54" s="95" t="s">
        <v>144</v>
      </c>
    </row>
    <row r="56" spans="1:5" x14ac:dyDescent="0.25">
      <c r="A56" s="1">
        <f>(21%*70+16%*(380-70))/380</f>
        <v>0.16921052631578948</v>
      </c>
      <c r="B56" t="s">
        <v>180</v>
      </c>
    </row>
    <row r="57" spans="1:5" x14ac:dyDescent="0.25">
      <c r="A57" s="1">
        <v>0.3746542484620633</v>
      </c>
      <c r="B57" s="120" t="s">
        <v>179</v>
      </c>
    </row>
  </sheetData>
  <mergeCells count="1">
    <mergeCell ref="B17:C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99FF-92D1-4875-BFFA-5E046DCE8256}">
  <dimension ref="A1:F49"/>
  <sheetViews>
    <sheetView workbookViewId="0">
      <selection activeCell="D33" sqref="D33"/>
    </sheetView>
  </sheetViews>
  <sheetFormatPr defaultRowHeight="15" x14ac:dyDescent="0.25"/>
  <cols>
    <col min="1" max="1" width="11.140625" customWidth="1"/>
    <col min="2" max="2" width="19.5703125" customWidth="1"/>
    <col min="3" max="3" width="15.5703125" customWidth="1"/>
    <col min="4" max="4" width="14.42578125" customWidth="1"/>
    <col min="5" max="5" width="19.42578125" customWidth="1"/>
  </cols>
  <sheetData>
    <row r="1" spans="1:5" x14ac:dyDescent="0.25">
      <c r="A1" s="4" t="s">
        <v>112</v>
      </c>
    </row>
    <row r="2" spans="1:5" x14ac:dyDescent="0.25">
      <c r="A2" s="4"/>
    </row>
    <row r="3" spans="1:5" x14ac:dyDescent="0.25">
      <c r="A3" s="4" t="s">
        <v>131</v>
      </c>
    </row>
    <row r="4" spans="1:5" ht="60" x14ac:dyDescent="0.25">
      <c r="A4" s="81" t="s">
        <v>108</v>
      </c>
      <c r="B4" s="84" t="s">
        <v>114</v>
      </c>
      <c r="C4" s="84" t="s">
        <v>113</v>
      </c>
      <c r="D4" s="81" t="s">
        <v>116</v>
      </c>
      <c r="E4" s="81" t="s">
        <v>117</v>
      </c>
    </row>
    <row r="5" spans="1:5" x14ac:dyDescent="0.25">
      <c r="A5" s="69" t="s">
        <v>85</v>
      </c>
      <c r="B5" s="72">
        <v>10142291111.841299</v>
      </c>
      <c r="C5" s="72">
        <v>7109302.3222734109</v>
      </c>
      <c r="D5" s="85">
        <f>(B5+C5)/1000000000</f>
        <v>10.149400414163573</v>
      </c>
      <c r="E5" s="82">
        <f t="shared" ref="E5:E12" si="0">D5/D$13*100</f>
        <v>9.2915916099961979</v>
      </c>
    </row>
    <row r="6" spans="1:5" x14ac:dyDescent="0.25">
      <c r="A6" s="69" t="s">
        <v>102</v>
      </c>
      <c r="B6" s="72">
        <v>4098368631.3814697</v>
      </c>
      <c r="C6" s="72">
        <v>11113279.267830499</v>
      </c>
      <c r="D6" s="85">
        <f t="shared" ref="D6:D12" si="1">(B6+C6)/1000000000</f>
        <v>4.1094819106492997</v>
      </c>
      <c r="E6" s="82">
        <f t="shared" si="0"/>
        <v>3.7621559978197938</v>
      </c>
    </row>
    <row r="7" spans="1:5" x14ac:dyDescent="0.25">
      <c r="A7" s="69" t="s">
        <v>100</v>
      </c>
      <c r="B7" s="72">
        <v>3974539746.6002502</v>
      </c>
      <c r="C7" s="72">
        <v>12974634.300416501</v>
      </c>
      <c r="D7" s="85">
        <f t="shared" si="1"/>
        <v>3.9875143809006666</v>
      </c>
      <c r="E7" s="82">
        <f t="shared" si="0"/>
        <v>3.6504969411406551</v>
      </c>
    </row>
    <row r="8" spans="1:5" x14ac:dyDescent="0.25">
      <c r="A8" s="69" t="s">
        <v>98</v>
      </c>
      <c r="B8" s="72">
        <v>8781579925.7390289</v>
      </c>
      <c r="C8" s="72">
        <v>13888521.1447042</v>
      </c>
      <c r="D8" s="85">
        <f t="shared" si="1"/>
        <v>8.7954684468837332</v>
      </c>
      <c r="E8" s="82">
        <f t="shared" si="0"/>
        <v>8.0520915021743349</v>
      </c>
    </row>
    <row r="9" spans="1:5" x14ac:dyDescent="0.25">
      <c r="A9" s="69" t="s">
        <v>96</v>
      </c>
      <c r="B9" s="72">
        <v>8198214984.9476099</v>
      </c>
      <c r="C9" s="72">
        <v>15724021.8595229</v>
      </c>
      <c r="D9" s="85">
        <f t="shared" si="1"/>
        <v>8.2139390068071325</v>
      </c>
      <c r="E9" s="82">
        <f t="shared" si="0"/>
        <v>7.5197118693005427</v>
      </c>
    </row>
    <row r="10" spans="1:5" x14ac:dyDescent="0.25">
      <c r="A10" s="69" t="s">
        <v>80</v>
      </c>
      <c r="B10" s="72">
        <v>8831568095.6517105</v>
      </c>
      <c r="C10" s="72">
        <v>20640453.8291093</v>
      </c>
      <c r="D10" s="85">
        <f t="shared" si="1"/>
        <v>8.8522085494808191</v>
      </c>
      <c r="E10" s="82">
        <f t="shared" si="0"/>
        <v>8.1040360348292602</v>
      </c>
    </row>
    <row r="11" spans="1:5" x14ac:dyDescent="0.25">
      <c r="A11" s="69" t="s">
        <v>78</v>
      </c>
      <c r="B11" s="72">
        <v>22090848136.499401</v>
      </c>
      <c r="C11" s="72">
        <v>23870170.425284699</v>
      </c>
      <c r="D11" s="85">
        <f t="shared" si="1"/>
        <v>22.114718306924686</v>
      </c>
      <c r="E11" s="82">
        <f t="shared" si="0"/>
        <v>20.245622666665156</v>
      </c>
    </row>
    <row r="12" spans="1:5" x14ac:dyDescent="0.25">
      <c r="A12" s="69" t="s">
        <v>92</v>
      </c>
      <c r="B12" s="72">
        <v>42868282754.142395</v>
      </c>
      <c r="C12" s="72">
        <v>141083810.02005601</v>
      </c>
      <c r="D12" s="85">
        <f t="shared" si="1"/>
        <v>43.009366564162455</v>
      </c>
      <c r="E12" s="82">
        <f t="shared" si="0"/>
        <v>39.374293378074057</v>
      </c>
    </row>
    <row r="13" spans="1:5" x14ac:dyDescent="0.25">
      <c r="A13" s="90" t="s">
        <v>119</v>
      </c>
      <c r="B13" s="91">
        <f t="shared" ref="B13:C13" si="2">SUM(B5:B12)</f>
        <v>108985693386.80316</v>
      </c>
      <c r="C13" s="91">
        <f t="shared" si="2"/>
        <v>246404193.1691975</v>
      </c>
      <c r="D13" s="92">
        <f>SUM(D5:D12)</f>
        <v>109.23209757997236</v>
      </c>
      <c r="E13" s="92">
        <f>SUM(E5:E12)</f>
        <v>100</v>
      </c>
    </row>
    <row r="15" spans="1:5" x14ac:dyDescent="0.25">
      <c r="A15" t="s">
        <v>120</v>
      </c>
      <c r="B15" s="72">
        <v>129737264130</v>
      </c>
      <c r="C15" s="72">
        <v>384662750</v>
      </c>
    </row>
    <row r="16" spans="1:5" x14ac:dyDescent="0.25">
      <c r="A16" s="83" t="s">
        <v>115</v>
      </c>
      <c r="B16" s="14">
        <f>B13/(B15)</f>
        <v>0.84004926508698963</v>
      </c>
      <c r="C16" s="14">
        <f>C13/(C15)</f>
        <v>0.64057201579616818</v>
      </c>
      <c r="D16" s="14">
        <f>D13/(B15+C15)*1000000000</f>
        <v>0.83945957609978761</v>
      </c>
    </row>
    <row r="17" spans="1:6" x14ac:dyDescent="0.25">
      <c r="A17" s="83"/>
      <c r="D17" s="14"/>
    </row>
    <row r="18" spans="1:6" x14ac:dyDescent="0.25">
      <c r="A18" s="4" t="s">
        <v>123</v>
      </c>
    </row>
    <row r="19" spans="1:6" ht="60" x14ac:dyDescent="0.25">
      <c r="A19" s="88"/>
      <c r="B19" s="89" t="s">
        <v>122</v>
      </c>
      <c r="C19" s="89" t="s">
        <v>121</v>
      </c>
    </row>
    <row r="20" spans="1:6" x14ac:dyDescent="0.25">
      <c r="A20" s="69" t="s">
        <v>85</v>
      </c>
      <c r="B20" s="11">
        <f>E5</f>
        <v>9.2915916099961979</v>
      </c>
      <c r="C20" s="11">
        <f>B20+(C$32*SUM(B$25:B$28)*B20/SUM(B$20:B$24))</f>
        <v>10.196776574559385</v>
      </c>
      <c r="E20" s="39">
        <v>0</v>
      </c>
      <c r="F20" s="8" t="str">
        <f t="shared" ref="F20:F28" si="3">CONCATENATE("%let sdep_",E20,"=",ROUND(C20/100,3),"; *", A20,"; ")</f>
        <v xml:space="preserve">%let sdep_0=0.102; *Negative; </v>
      </c>
    </row>
    <row r="21" spans="1:6" x14ac:dyDescent="0.25">
      <c r="A21" s="69" t="s">
        <v>84</v>
      </c>
      <c r="B21" s="11">
        <f>E6+E7*0.5</f>
        <v>5.5874044683901216</v>
      </c>
      <c r="C21" s="11">
        <f>B21+(C$32*SUM(B$25:B$28)*B21/SUM(B$20:B$24))</f>
        <v>6.1317282751186415</v>
      </c>
      <c r="E21" s="39">
        <f t="shared" ref="E21:E28" si="4">E20+1</f>
        <v>1</v>
      </c>
      <c r="F21" s="8" t="str">
        <f t="shared" si="3"/>
        <v xml:space="preserve">%let sdep_1=0.061; *Bottom 50%; </v>
      </c>
    </row>
    <row r="22" spans="1:6" x14ac:dyDescent="0.25">
      <c r="A22" s="69" t="s">
        <v>82</v>
      </c>
      <c r="B22" s="11">
        <f>E7*0.5+E8+E9</f>
        <v>17.397051842045204</v>
      </c>
      <c r="C22" s="11">
        <f>B22+(C$32*SUM(B$25:B$28)*B22/SUM(B$20:B$24))</f>
        <v>19.091869093613159</v>
      </c>
      <c r="E22" s="39">
        <f t="shared" si="4"/>
        <v>2</v>
      </c>
      <c r="F22" s="8" t="str">
        <f t="shared" si="3"/>
        <v xml:space="preserve">%let sdep_2=0.191; *P50-90; </v>
      </c>
    </row>
    <row r="23" spans="1:6" x14ac:dyDescent="0.25">
      <c r="A23" s="69" t="s">
        <v>80</v>
      </c>
      <c r="B23" s="11">
        <f>E10</f>
        <v>8.1040360348292602</v>
      </c>
      <c r="C23" s="11">
        <f>B23+(C$32*SUM(B$25:B$28)*B23/SUM(B$20:B$24))</f>
        <v>8.8935295768305878</v>
      </c>
      <c r="E23" s="39">
        <f t="shared" si="4"/>
        <v>3</v>
      </c>
      <c r="F23" s="8" t="str">
        <f t="shared" si="3"/>
        <v xml:space="preserve">%let sdep_3=0.089; *90-95; </v>
      </c>
    </row>
    <row r="24" spans="1:6" x14ac:dyDescent="0.25">
      <c r="A24" s="69" t="s">
        <v>78</v>
      </c>
      <c r="B24" s="11">
        <f>E11</f>
        <v>20.245622666665156</v>
      </c>
      <c r="C24" s="11">
        <f>B24+(C$32*SUM(B$25:B$28)*B24/SUM(B$20:B$24))</f>
        <v>22.217947108515272</v>
      </c>
      <c r="E24" s="39">
        <f t="shared" si="4"/>
        <v>4</v>
      </c>
      <c r="F24" s="8" t="str">
        <f t="shared" si="3"/>
        <v xml:space="preserve">%let sdep_4=0.222; *95-99; </v>
      </c>
    </row>
    <row r="25" spans="1:6" x14ac:dyDescent="0.25">
      <c r="A25" s="69" t="s">
        <v>76</v>
      </c>
      <c r="B25" s="11">
        <f>E$12*0.25</f>
        <v>9.8435733445185143</v>
      </c>
      <c r="C25" s="11">
        <f>B25*(1-C$32)</f>
        <v>8.367037342840737</v>
      </c>
      <c r="E25" s="39">
        <f t="shared" si="4"/>
        <v>5</v>
      </c>
      <c r="F25" s="8" t="str">
        <f t="shared" si="3"/>
        <v xml:space="preserve">%let sdep_5=0.084; *P99-99.5; </v>
      </c>
    </row>
    <row r="26" spans="1:6" x14ac:dyDescent="0.25">
      <c r="A26" s="69" t="s">
        <v>74</v>
      </c>
      <c r="B26" s="11">
        <f>E$12*0.25</f>
        <v>9.8435733445185143</v>
      </c>
      <c r="C26" s="11">
        <f>B26*(1-C$32)</f>
        <v>8.367037342840737</v>
      </c>
      <c r="E26" s="39">
        <f t="shared" si="4"/>
        <v>6</v>
      </c>
      <c r="F26" s="8" t="str">
        <f t="shared" si="3"/>
        <v xml:space="preserve">%let sdep_6=0.084; *P99.5-99.9; </v>
      </c>
    </row>
    <row r="27" spans="1:6" x14ac:dyDescent="0.25">
      <c r="A27" s="69" t="s">
        <v>72</v>
      </c>
      <c r="B27" s="11">
        <f>E$12*0.25</f>
        <v>9.8435733445185143</v>
      </c>
      <c r="C27" s="11">
        <f>B27*(1-C$32)</f>
        <v>8.367037342840737</v>
      </c>
      <c r="E27" s="39">
        <f t="shared" si="4"/>
        <v>7</v>
      </c>
      <c r="F27" s="8" t="str">
        <f t="shared" si="3"/>
        <v xml:space="preserve">%let sdep_7=0.084; *P99.9-99.99; </v>
      </c>
    </row>
    <row r="28" spans="1:6" x14ac:dyDescent="0.25">
      <c r="A28" s="69" t="s">
        <v>70</v>
      </c>
      <c r="B28" s="87">
        <f>100-SUM(B20:B27)</f>
        <v>9.8435733445185036</v>
      </c>
      <c r="C28" s="11">
        <f>B28*(1-C$32)</f>
        <v>8.3670373428407281</v>
      </c>
      <c r="E28" s="39">
        <f t="shared" si="4"/>
        <v>8</v>
      </c>
      <c r="F28" s="8" t="str">
        <f t="shared" si="3"/>
        <v xml:space="preserve">%let sdep_8=0.084; *Top 0.01%; </v>
      </c>
    </row>
    <row r="29" spans="1:6" x14ac:dyDescent="0.25">
      <c r="A29" s="93" t="s">
        <v>120</v>
      </c>
      <c r="B29" s="94">
        <f>SUM(B20:B28)</f>
        <v>100</v>
      </c>
      <c r="C29" s="94">
        <f>SUM(C20:C28)</f>
        <v>99.999999999999972</v>
      </c>
    </row>
    <row r="30" spans="1:6" x14ac:dyDescent="0.25">
      <c r="A30" s="69"/>
      <c r="B30" s="67"/>
      <c r="C30" s="67"/>
    </row>
    <row r="31" spans="1:6" ht="17.25" customHeight="1" x14ac:dyDescent="0.25">
      <c r="A31" s="69" t="s">
        <v>110</v>
      </c>
      <c r="B31" s="67">
        <f>SUM(B25:B28)</f>
        <v>39.374293378074043</v>
      </c>
      <c r="C31" s="67">
        <f>SUM(C25:C28)</f>
        <v>33.468149371362941</v>
      </c>
    </row>
    <row r="32" spans="1:6" x14ac:dyDescent="0.25">
      <c r="B32" s="66" t="s">
        <v>68</v>
      </c>
      <c r="C32" s="53">
        <v>0.15</v>
      </c>
    </row>
    <row r="33" spans="1:5" ht="7.5" customHeight="1" x14ac:dyDescent="0.25"/>
    <row r="34" spans="1:5" x14ac:dyDescent="0.25">
      <c r="A34" s="86" t="s">
        <v>124</v>
      </c>
    </row>
    <row r="35" spans="1:5" x14ac:dyDescent="0.25">
      <c r="A35" s="86" t="s">
        <v>125</v>
      </c>
    </row>
    <row r="37" spans="1:5" x14ac:dyDescent="0.25">
      <c r="A37" s="4" t="s">
        <v>177</v>
      </c>
    </row>
    <row r="38" spans="1:5" x14ac:dyDescent="0.25">
      <c r="A38" t="s">
        <v>127</v>
      </c>
      <c r="D38" s="96">
        <f>39%* (100% - 10% -15%)</f>
        <v>0.29249999999999998</v>
      </c>
    </row>
    <row r="39" spans="1:5" x14ac:dyDescent="0.25">
      <c r="A39" t="s">
        <v>126</v>
      </c>
    </row>
    <row r="41" spans="1:5" x14ac:dyDescent="0.25">
      <c r="A41" t="s">
        <v>129</v>
      </c>
      <c r="D41" s="121">
        <f>(D38-28%)*155/18273*100</f>
        <v>1.0603075575986391E-2</v>
      </c>
      <c r="E41" t="s">
        <v>130</v>
      </c>
    </row>
    <row r="42" spans="1:5" x14ac:dyDescent="0.25">
      <c r="A42" s="95" t="s">
        <v>178</v>
      </c>
    </row>
    <row r="44" spans="1:5" x14ac:dyDescent="0.25">
      <c r="A44" s="120"/>
      <c r="B44" s="120"/>
      <c r="C44" s="120"/>
      <c r="D44" s="120"/>
      <c r="E44" s="120"/>
    </row>
    <row r="45" spans="1:5" x14ac:dyDescent="0.25">
      <c r="A45" s="120"/>
      <c r="B45" s="120"/>
      <c r="C45" s="120"/>
      <c r="D45" s="120"/>
      <c r="E45" s="120"/>
    </row>
    <row r="46" spans="1:5" x14ac:dyDescent="0.25">
      <c r="A46" s="120"/>
      <c r="B46" s="120"/>
      <c r="C46" s="120"/>
      <c r="D46" s="120"/>
      <c r="E46" s="120"/>
    </row>
    <row r="47" spans="1:5" x14ac:dyDescent="0.25">
      <c r="A47" s="120"/>
      <c r="B47" s="120"/>
      <c r="C47" s="120"/>
      <c r="D47" s="120"/>
      <c r="E47" s="120"/>
    </row>
    <row r="48" spans="1:5" x14ac:dyDescent="0.25">
      <c r="A48" s="120"/>
      <c r="B48" s="120"/>
      <c r="C48" s="120"/>
      <c r="D48" s="120"/>
      <c r="E48" s="120"/>
    </row>
    <row r="49" spans="1:5" x14ac:dyDescent="0.25">
      <c r="A49" s="120"/>
      <c r="B49" s="120"/>
      <c r="C49" s="120"/>
      <c r="D49" s="120"/>
      <c r="E49" s="1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1194-4A79-4407-AD01-0C74DE2A1AB3}">
  <dimension ref="A1:H28"/>
  <sheetViews>
    <sheetView workbookViewId="0">
      <selection activeCell="J21" sqref="J21"/>
    </sheetView>
  </sheetViews>
  <sheetFormatPr defaultRowHeight="15" x14ac:dyDescent="0.25"/>
  <cols>
    <col min="1" max="1" width="11.140625" customWidth="1"/>
    <col min="8" max="8" width="12.28515625" customWidth="1"/>
  </cols>
  <sheetData>
    <row r="1" spans="1:8" x14ac:dyDescent="0.25">
      <c r="A1" s="4" t="s">
        <v>163</v>
      </c>
    </row>
    <row r="3" spans="1:8" x14ac:dyDescent="0.25">
      <c r="A3" t="s">
        <v>168</v>
      </c>
    </row>
    <row r="4" spans="1:8" x14ac:dyDescent="0.25">
      <c r="A4" s="5">
        <f>(7.1% -6.3%) *1340 /18300*100</f>
        <v>5.8579234972677557E-2</v>
      </c>
      <c r="B4" t="s">
        <v>169</v>
      </c>
      <c r="E4" s="1">
        <f>A4/0.3</f>
        <v>0.19526411657559187</v>
      </c>
      <c r="F4" t="s">
        <v>171</v>
      </c>
    </row>
    <row r="5" spans="1:8" x14ac:dyDescent="0.25">
      <c r="A5" s="109" t="s">
        <v>170</v>
      </c>
    </row>
    <row r="8" spans="1:8" x14ac:dyDescent="0.25">
      <c r="A8" s="4" t="s">
        <v>158</v>
      </c>
      <c r="F8" s="4" t="s">
        <v>160</v>
      </c>
    </row>
    <row r="9" spans="1:8" x14ac:dyDescent="0.25">
      <c r="B9" s="107" t="s">
        <v>152</v>
      </c>
      <c r="C9" s="107" t="s">
        <v>153</v>
      </c>
      <c r="D9" s="107" t="s">
        <v>159</v>
      </c>
      <c r="F9" s="4" t="s">
        <v>165</v>
      </c>
      <c r="G9" s="4" t="s">
        <v>161</v>
      </c>
      <c r="H9" s="107" t="s">
        <v>167</v>
      </c>
    </row>
    <row r="10" spans="1:8" x14ac:dyDescent="0.25">
      <c r="A10" t="s">
        <v>151</v>
      </c>
      <c r="B10" s="11">
        <f>SUM(C19:G19)</f>
        <v>9.35</v>
      </c>
      <c r="C10" s="11">
        <f>SUM(C20:G20)</f>
        <v>16.36</v>
      </c>
      <c r="D10" s="11">
        <f>B10+C10</f>
        <v>25.71</v>
      </c>
      <c r="F10" s="11">
        <f>F12-F11</f>
        <v>4.0839518834608599</v>
      </c>
      <c r="G10" s="11">
        <f>C10-F10</f>
        <v>12.27604811653914</v>
      </c>
      <c r="H10" s="11">
        <f>B10+G10</f>
        <v>21.626048116539138</v>
      </c>
    </row>
    <row r="11" spans="1:8" x14ac:dyDescent="0.25">
      <c r="A11" t="s">
        <v>110</v>
      </c>
      <c r="B11" s="11">
        <f>B19</f>
        <v>1.1100000000000001</v>
      </c>
      <c r="C11" s="11">
        <f>B20</f>
        <v>0.63</v>
      </c>
      <c r="D11" s="11">
        <f>B11+C11</f>
        <v>1.7400000000000002</v>
      </c>
      <c r="F11" s="11">
        <f>F12*C11/C12*0.5</f>
        <v>7.7148116539140679E-2</v>
      </c>
      <c r="G11" s="11">
        <f>C11-F11</f>
        <v>0.55285188346085934</v>
      </c>
      <c r="H11" s="11">
        <f>B11+G11</f>
        <v>1.6628518834608594</v>
      </c>
    </row>
    <row r="12" spans="1:8" x14ac:dyDescent="0.25">
      <c r="A12" s="4" t="s">
        <v>120</v>
      </c>
      <c r="B12" s="62">
        <f>B10+B11</f>
        <v>10.459999999999999</v>
      </c>
      <c r="C12" s="62">
        <f>C10+C11</f>
        <v>16.989999999999998</v>
      </c>
      <c r="D12" s="62">
        <f>D10+D11</f>
        <v>27.450000000000003</v>
      </c>
      <c r="F12" s="62">
        <f>(D24-C24)/1000</f>
        <v>4.1611000000000002</v>
      </c>
      <c r="G12" s="62">
        <f>G10+G11</f>
        <v>12.828899999999999</v>
      </c>
      <c r="H12" s="62">
        <f>H10+H11</f>
        <v>23.288899999999998</v>
      </c>
    </row>
    <row r="13" spans="1:8" x14ac:dyDescent="0.25">
      <c r="A13" s="4" t="s">
        <v>164</v>
      </c>
      <c r="B13" s="13"/>
      <c r="C13" s="13"/>
      <c r="D13" s="114">
        <f>D11/D12</f>
        <v>6.3387978142076501E-2</v>
      </c>
      <c r="H13" s="114">
        <f>H11/H12</f>
        <v>7.1401048716807552E-2</v>
      </c>
    </row>
    <row r="14" spans="1:8" x14ac:dyDescent="0.25">
      <c r="B14" s="13"/>
      <c r="C14" s="13"/>
      <c r="D14" s="115" t="s">
        <v>2</v>
      </c>
      <c r="H14" s="115" t="s">
        <v>172</v>
      </c>
    </row>
    <row r="17" spans="1:7" x14ac:dyDescent="0.25">
      <c r="A17" t="s">
        <v>157</v>
      </c>
    </row>
    <row r="18" spans="1:7" ht="15.75" thickBot="1" x14ac:dyDescent="0.3">
      <c r="B18" t="s">
        <v>110</v>
      </c>
    </row>
    <row r="19" spans="1:7" ht="15.75" thickBot="1" x14ac:dyDescent="0.3">
      <c r="A19" s="4" t="s">
        <v>152</v>
      </c>
      <c r="B19" s="110">
        <v>1.1100000000000001</v>
      </c>
      <c r="C19" s="112">
        <v>6.43</v>
      </c>
      <c r="D19" s="112">
        <v>1.86</v>
      </c>
      <c r="E19" s="112">
        <v>0.81</v>
      </c>
      <c r="F19" s="112">
        <v>0.19</v>
      </c>
      <c r="G19" s="111">
        <v>0.06</v>
      </c>
    </row>
    <row r="20" spans="1:7" ht="15.75" thickBot="1" x14ac:dyDescent="0.3">
      <c r="A20" s="4" t="s">
        <v>153</v>
      </c>
      <c r="B20" s="110">
        <v>0.63</v>
      </c>
      <c r="C20" s="112">
        <v>8.11</v>
      </c>
      <c r="D20" s="112">
        <v>4.62</v>
      </c>
      <c r="E20" s="112">
        <v>2.42</v>
      </c>
      <c r="F20" s="112">
        <v>0.92</v>
      </c>
      <c r="G20" s="111">
        <v>0.28999999999999998</v>
      </c>
    </row>
    <row r="22" spans="1:7" x14ac:dyDescent="0.25">
      <c r="A22" t="s">
        <v>154</v>
      </c>
    </row>
    <row r="23" spans="1:7" ht="15.75" thickBot="1" x14ac:dyDescent="0.3">
      <c r="A23" s="4" t="s">
        <v>166</v>
      </c>
      <c r="C23" s="4" t="s">
        <v>155</v>
      </c>
      <c r="D23" s="4" t="s">
        <v>156</v>
      </c>
    </row>
    <row r="24" spans="1:7" ht="15.75" thickBot="1" x14ac:dyDescent="0.3">
      <c r="C24" s="110">
        <v>4720</v>
      </c>
      <c r="D24" s="111">
        <v>8881.1</v>
      </c>
    </row>
    <row r="26" spans="1:7" x14ac:dyDescent="0.25">
      <c r="A26" t="s">
        <v>162</v>
      </c>
    </row>
    <row r="27" spans="1:7" x14ac:dyDescent="0.25">
      <c r="A27" s="113">
        <f>(8.3% -6.3%) *1340 /18300*100</f>
        <v>0.14644808743169399</v>
      </c>
    </row>
    <row r="28" spans="1:7" x14ac:dyDescent="0.25">
      <c r="A28" s="109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F1</vt:lpstr>
      <vt:lpstr>F2</vt:lpstr>
      <vt:lpstr>F3</vt:lpstr>
      <vt:lpstr>A1</vt:lpstr>
      <vt:lpstr>PartDist</vt:lpstr>
      <vt:lpstr>ScorpDist</vt:lpstr>
      <vt:lpstr>Pensions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Splinter, David</dc:creator>
  <cp:lastModifiedBy>Splinter, David</cp:lastModifiedBy>
  <dcterms:created xsi:type="dcterms:W3CDTF">2024-10-09T17:31:25Z</dcterms:created>
  <dcterms:modified xsi:type="dcterms:W3CDTF">2024-11-01T13:03:39Z</dcterms:modified>
</cp:coreProperties>
</file>